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7.xml" ContentType="application/vnd.openxmlformats-officedocument.spreadsheetml.comments+xml"/>
  <Override PartName="/xl/charts/chart4.xml" ContentType="application/vnd.openxmlformats-officedocument.drawingml.chart+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C0C1E9AC-D6F9-49B7-B142-D419200FF3F4}" xr6:coauthVersionLast="47" xr6:coauthVersionMax="47" xr10:uidLastSave="{00000000-0000-0000-0000-000000000000}"/>
  <bookViews>
    <workbookView xWindow="-120" yWindow="-120" windowWidth="29040" windowHeight="15840" tabRatio="930" xr2:uid="{00000000-000D-0000-FFFF-FFFF00000000}"/>
  </bookViews>
  <sheets>
    <sheet name="Inventory" sheetId="30" r:id="rId1"/>
    <sheet name="Log" sheetId="29" r:id="rId2"/>
    <sheet name="MH-60R CVW 11 Plane 20 Crew" sheetId="31" r:id="rId3"/>
    <sheet name="MH-60R CVW 10 Plane 18 Crew" sheetId="52" r:id="rId4"/>
    <sheet name="MH-60R FDNF 7 Plane 14 Crew" sheetId="39" r:id="rId5"/>
    <sheet name="MH-60R FDNF 1 plane-2 crew DRRS" sheetId="41" r:id="rId6"/>
    <sheet name="MH-60R FDNF 2 plane-3 crew DRRS" sheetId="42" r:id="rId7"/>
    <sheet name="MH-60R EXP 1 Plane-2 Crew DRRS" sheetId="34" r:id="rId8"/>
    <sheet name="MH-60R EXP 2 Plane-3 Crew DRRS" sheetId="35" r:id="rId9"/>
    <sheet name="HSM HSM-40 FRS (U)" sheetId="46" r:id="rId10"/>
    <sheet name="HSM HSM-41 FRS (U)" sheetId="51" r:id="rId11"/>
    <sheet name="HSM MH-60R PDAA" sheetId="54" r:id="rId12"/>
    <sheet name="MH-60R Reduced MET Matrix" sheetId="49" r:id="rId13"/>
    <sheet name="MH-60R Mission System Summary" sheetId="53" r:id="rId14"/>
    <sheet name="MH-60R Mission Systems" sheetId="47" r:id="rId15"/>
    <sheet name="Definitions" sheetId="5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PAA6">'[1]VS32 Jun05 NAVRIIP'!$A$13:$AB$42</definedName>
    <definedName name="____PAA8">'[2]VS22 OCT04 NAVRIIP Worksheet'!$B$13:$AB$42</definedName>
    <definedName name="___PAA6">'[3]VS32 Jun05 NAVRIIP'!$A$13:$AB$42</definedName>
    <definedName name="___PAA8">'[4]VS22 OCT04 NAVRIIP Worksheet'!$B$13:$AB$42</definedName>
    <definedName name="__PAA6">'[3]VS32 Jun05 NAVRIIP'!$A$13:$AB$42</definedName>
    <definedName name="__PAA8">'[4]VS22 OCT04 NAVRIIP Worksheet'!$B$13:$AB$42</definedName>
    <definedName name="_PAA6" localSheetId="9">'[5]VS32 Jun05 NAVRIIP'!$A$13:$AB$42</definedName>
    <definedName name="_PAA6" localSheetId="10">'[5]VS32 Jun05 NAVRIIP'!$A$13:$AB$42</definedName>
    <definedName name="_PAA6">'[3]VS32 Jun05 NAVRIIP'!$A$13:$AB$42</definedName>
    <definedName name="_PAA8" localSheetId="9">'[6]VS22 OCT04 NAVRIIP Worksheet'!$B$13:$AB$42</definedName>
    <definedName name="_PAA8" localSheetId="10">'[6]VS22 OCT04 NAVRIIP Worksheet'!$B$13:$AB$42</definedName>
    <definedName name="_PAA8">'[4]VS22 OCT04 NAVRIIP Worksheet'!$B$13:$AB$42</definedName>
    <definedName name="MATRIX">#REF!</definedName>
    <definedName name="MATRIX_1">#REF!</definedName>
    <definedName name="NDEPUTIL" localSheetId="9">'[7]HSC EXP 2 AC CSG ESG W FRS STND'!#REF!</definedName>
    <definedName name="NDEPUTIL" localSheetId="10">'[7]HSC EXP 2 AC CSG ESG W FRS STND'!#REF!</definedName>
    <definedName name="NDEPUTIL">'[8]HSC EXP 2 AC CSG ESG W FRS STND'!#REF!</definedName>
    <definedName name="New">'[9]HSC EXP 2 AC CSG ESG W FRS STND'!#REF!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E15" i="30"/>
  <c r="E16" i="30"/>
  <c r="E17" i="30"/>
  <c r="E18" i="30"/>
  <c r="D11" i="30"/>
  <c r="E11" i="30" s="1"/>
  <c r="A11" i="30"/>
  <c r="B19" i="54"/>
  <c r="B20" i="54" s="1"/>
  <c r="B21" i="54" l="1"/>
  <c r="C2" i="53" l="1"/>
  <c r="D2" i="53"/>
  <c r="E2" i="53"/>
  <c r="F2" i="53"/>
  <c r="B2" i="53"/>
  <c r="D13" i="30"/>
  <c r="E13" i="30" s="1"/>
  <c r="A13" i="30"/>
  <c r="B18" i="51" l="1"/>
  <c r="B18" i="46"/>
  <c r="B135" i="31"/>
  <c r="B134" i="31"/>
  <c r="B133" i="31"/>
  <c r="B132" i="31"/>
  <c r="B131" i="31"/>
  <c r="B130" i="31"/>
  <c r="B129" i="31"/>
  <c r="B128" i="31"/>
  <c r="B127" i="31"/>
  <c r="B126" i="31"/>
  <c r="B125" i="31"/>
  <c r="B135" i="52"/>
  <c r="B134" i="52"/>
  <c r="B133" i="52"/>
  <c r="B132" i="52"/>
  <c r="B131" i="52"/>
  <c r="B130" i="52"/>
  <c r="B129" i="52"/>
  <c r="B128" i="52"/>
  <c r="B127" i="52"/>
  <c r="B126" i="52"/>
  <c r="B125" i="52"/>
  <c r="B135" i="39"/>
  <c r="B134" i="39"/>
  <c r="B133" i="39"/>
  <c r="B132" i="39"/>
  <c r="B131" i="39"/>
  <c r="B130" i="39"/>
  <c r="B129" i="39"/>
  <c r="B128" i="39"/>
  <c r="B127" i="39"/>
  <c r="B126" i="39"/>
  <c r="B125" i="39"/>
  <c r="B135" i="41"/>
  <c r="B134" i="41"/>
  <c r="B133" i="41"/>
  <c r="B132" i="41"/>
  <c r="B131" i="41"/>
  <c r="B130" i="41"/>
  <c r="B129" i="41"/>
  <c r="B128" i="41"/>
  <c r="B127" i="41"/>
  <c r="B126" i="41"/>
  <c r="B125" i="41"/>
  <c r="B135" i="42"/>
  <c r="B134" i="42"/>
  <c r="B133" i="42"/>
  <c r="B132" i="42"/>
  <c r="B131" i="42"/>
  <c r="B130" i="42"/>
  <c r="B129" i="42"/>
  <c r="B128" i="42"/>
  <c r="B127" i="42"/>
  <c r="B126" i="42"/>
  <c r="B125" i="42"/>
  <c r="B135" i="34"/>
  <c r="B134" i="34"/>
  <c r="B133" i="34"/>
  <c r="B132" i="34"/>
  <c r="B131" i="34"/>
  <c r="B130" i="34"/>
  <c r="B129" i="34"/>
  <c r="B128" i="34"/>
  <c r="B127" i="34"/>
  <c r="B126" i="34"/>
  <c r="B125" i="34"/>
  <c r="B135" i="35"/>
  <c r="B134" i="35"/>
  <c r="B133" i="35"/>
  <c r="B132" i="35"/>
  <c r="B131" i="35"/>
  <c r="B130" i="35"/>
  <c r="B129" i="35"/>
  <c r="B128" i="35"/>
  <c r="B127" i="35"/>
  <c r="B126" i="35"/>
  <c r="B125" i="35"/>
  <c r="D3" i="30"/>
  <c r="C3" i="30"/>
  <c r="A3" i="30"/>
  <c r="A121" i="52" l="1"/>
  <c r="A120" i="52"/>
  <c r="A119" i="52"/>
  <c r="A118" i="52"/>
  <c r="A117" i="52"/>
  <c r="F116" i="52"/>
  <c r="A116" i="52"/>
  <c r="A115" i="52"/>
  <c r="F114" i="52"/>
  <c r="A114" i="52"/>
  <c r="A113" i="52"/>
  <c r="A112" i="52"/>
  <c r="A111" i="52"/>
  <c r="A110" i="52"/>
  <c r="A109" i="52"/>
  <c r="A108" i="52"/>
  <c r="B81" i="52" a="1"/>
  <c r="B81" i="52" s="1"/>
  <c r="P79" i="52" s="1"/>
  <c r="AL79" i="52" s="1"/>
  <c r="W78" i="52"/>
  <c r="V78" i="52"/>
  <c r="U78" i="52"/>
  <c r="T78" i="52"/>
  <c r="S78" i="52"/>
  <c r="R78" i="52"/>
  <c r="AP77" i="52"/>
  <c r="AO77" i="52"/>
  <c r="AN77" i="52"/>
  <c r="AM77" i="52"/>
  <c r="AL77" i="52"/>
  <c r="AK77" i="52"/>
  <c r="AJ77" i="52"/>
  <c r="AI77" i="52"/>
  <c r="AH77" i="52"/>
  <c r="AG77" i="52"/>
  <c r="AF77" i="52"/>
  <c r="AE77" i="52"/>
  <c r="AD77" i="52"/>
  <c r="AC77" i="52"/>
  <c r="AQ65" i="52"/>
  <c r="AP65" i="52"/>
  <c r="AO65" i="52"/>
  <c r="AN65" i="52"/>
  <c r="AM65" i="52"/>
  <c r="AL65" i="52"/>
  <c r="AK65" i="52"/>
  <c r="AJ65" i="52"/>
  <c r="AI65" i="52"/>
  <c r="AH65" i="52"/>
  <c r="AG65" i="52"/>
  <c r="AF65" i="52"/>
  <c r="AE65" i="52"/>
  <c r="AD65" i="52"/>
  <c r="AC65" i="52"/>
  <c r="AB65" i="52"/>
  <c r="AA65" i="52"/>
  <c r="Z65" i="52"/>
  <c r="Y65" i="52"/>
  <c r="X65" i="52"/>
  <c r="W65" i="52"/>
  <c r="V65" i="52"/>
  <c r="U65" i="52"/>
  <c r="T65" i="52"/>
  <c r="S65" i="52"/>
  <c r="R65" i="52"/>
  <c r="Q65" i="52"/>
  <c r="P65" i="52"/>
  <c r="O65" i="52"/>
  <c r="N65" i="52"/>
  <c r="M65" i="52"/>
  <c r="L65" i="52"/>
  <c r="K65" i="52"/>
  <c r="J65" i="52"/>
  <c r="I65" i="52"/>
  <c r="H65" i="52"/>
  <c r="G65" i="52"/>
  <c r="F65" i="52"/>
  <c r="E65" i="52"/>
  <c r="D65" i="52"/>
  <c r="C65" i="52"/>
  <c r="B65" i="52"/>
  <c r="A65" i="52"/>
  <c r="AQ64" i="52"/>
  <c r="AP64" i="52"/>
  <c r="AO64" i="52"/>
  <c r="AN64" i="52"/>
  <c r="AM64" i="52"/>
  <c r="AL64" i="52"/>
  <c r="AK64" i="52"/>
  <c r="AJ64" i="52"/>
  <c r="AI64" i="52"/>
  <c r="AH64" i="52"/>
  <c r="AG64" i="52"/>
  <c r="AF64" i="52"/>
  <c r="AE64" i="52"/>
  <c r="AD64" i="52"/>
  <c r="AC64" i="52"/>
  <c r="AB64" i="52"/>
  <c r="AA64" i="52"/>
  <c r="Z64" i="52"/>
  <c r="Y64" i="52"/>
  <c r="X64" i="52"/>
  <c r="W64" i="52"/>
  <c r="V64" i="52"/>
  <c r="U64" i="52"/>
  <c r="T64" i="52"/>
  <c r="S64" i="52"/>
  <c r="R64" i="52"/>
  <c r="Q64" i="52"/>
  <c r="P64" i="52"/>
  <c r="O64" i="52"/>
  <c r="N64" i="52"/>
  <c r="M64" i="52"/>
  <c r="L64" i="52"/>
  <c r="K64" i="52"/>
  <c r="J64" i="52"/>
  <c r="I64" i="52"/>
  <c r="H64" i="52"/>
  <c r="G64" i="52"/>
  <c r="F64" i="52"/>
  <c r="E64" i="52"/>
  <c r="D64" i="52"/>
  <c r="C64" i="52"/>
  <c r="B64" i="52"/>
  <c r="A64" i="52"/>
  <c r="AQ63" i="52"/>
  <c r="AP63" i="52"/>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F63" i="52"/>
  <c r="E63" i="52"/>
  <c r="D63" i="52"/>
  <c r="C63" i="52"/>
  <c r="B63" i="52"/>
  <c r="A63" i="52"/>
  <c r="AQ62" i="52"/>
  <c r="AP62"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F62" i="52"/>
  <c r="E62" i="52"/>
  <c r="D62" i="52"/>
  <c r="C62" i="52"/>
  <c r="B62" i="52"/>
  <c r="A62"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F61" i="52"/>
  <c r="E61" i="52"/>
  <c r="D61" i="52"/>
  <c r="C61" i="52"/>
  <c r="B61" i="52"/>
  <c r="A61" i="52"/>
  <c r="AQ60" i="52"/>
  <c r="AP60" i="52"/>
  <c r="AO60" i="52"/>
  <c r="AN60" i="52"/>
  <c r="AM60" i="52"/>
  <c r="AL60" i="52"/>
  <c r="AK60" i="52"/>
  <c r="AJ60" i="52"/>
  <c r="AI60" i="52"/>
  <c r="AH60" i="52"/>
  <c r="AG60" i="52"/>
  <c r="AF60" i="52"/>
  <c r="AE60" i="52"/>
  <c r="AD60" i="52"/>
  <c r="AC60" i="52"/>
  <c r="AB60" i="52"/>
  <c r="AA60" i="52"/>
  <c r="Z60" i="52"/>
  <c r="Y60" i="52"/>
  <c r="X60" i="52"/>
  <c r="W60" i="52"/>
  <c r="V60" i="52"/>
  <c r="U60" i="52"/>
  <c r="T60" i="52"/>
  <c r="S60" i="52"/>
  <c r="R60" i="52"/>
  <c r="Q60" i="52"/>
  <c r="P60" i="52"/>
  <c r="O60" i="52"/>
  <c r="N60" i="52"/>
  <c r="M60" i="52"/>
  <c r="L60" i="52"/>
  <c r="K60" i="52"/>
  <c r="J60" i="52"/>
  <c r="I60" i="52"/>
  <c r="H60" i="52"/>
  <c r="G60" i="52"/>
  <c r="F60" i="52"/>
  <c r="E60" i="52"/>
  <c r="D60" i="52"/>
  <c r="C60" i="52"/>
  <c r="B60" i="52"/>
  <c r="A60" i="52"/>
  <c r="AQ59" i="52"/>
  <c r="AP59" i="52"/>
  <c r="AO59" i="52"/>
  <c r="AN59" i="52"/>
  <c r="AM59" i="52"/>
  <c r="AL59" i="52"/>
  <c r="AK59" i="52"/>
  <c r="AJ59" i="52"/>
  <c r="AI59" i="52"/>
  <c r="AH59" i="52"/>
  <c r="AG59" i="52"/>
  <c r="AF59" i="52"/>
  <c r="AE59" i="52"/>
  <c r="AD59" i="52"/>
  <c r="AC59" i="52"/>
  <c r="AB59" i="52"/>
  <c r="AA59" i="52"/>
  <c r="Z59" i="52"/>
  <c r="Y59" i="52"/>
  <c r="X59" i="52"/>
  <c r="W59" i="52"/>
  <c r="V59" i="52"/>
  <c r="U59" i="52"/>
  <c r="T59" i="52"/>
  <c r="S59" i="52"/>
  <c r="R59" i="52"/>
  <c r="Q59" i="52"/>
  <c r="P59" i="52"/>
  <c r="O59" i="52"/>
  <c r="N59" i="52"/>
  <c r="M59" i="52"/>
  <c r="L59" i="52"/>
  <c r="K59" i="52"/>
  <c r="J59" i="52"/>
  <c r="I59" i="52"/>
  <c r="H59" i="52"/>
  <c r="G59" i="52"/>
  <c r="F59" i="52"/>
  <c r="E59" i="52"/>
  <c r="D59" i="52"/>
  <c r="C59" i="52"/>
  <c r="B59" i="52"/>
  <c r="A59"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O58" i="52"/>
  <c r="N58" i="52"/>
  <c r="M58" i="52"/>
  <c r="L58" i="52"/>
  <c r="K58" i="52"/>
  <c r="J58" i="52"/>
  <c r="I58" i="52"/>
  <c r="H58" i="52"/>
  <c r="G58" i="52"/>
  <c r="F58" i="52"/>
  <c r="E58" i="52"/>
  <c r="D58" i="52"/>
  <c r="C58" i="52"/>
  <c r="B58" i="52"/>
  <c r="A58" i="52"/>
  <c r="AQ57" i="52"/>
  <c r="AP57" i="52"/>
  <c r="AO57" i="52"/>
  <c r="AN57" i="52"/>
  <c r="AM57" i="52"/>
  <c r="AL57" i="52"/>
  <c r="AK57" i="52"/>
  <c r="AJ57" i="52"/>
  <c r="AI57" i="52"/>
  <c r="AH57" i="52"/>
  <c r="AG57" i="52"/>
  <c r="AF57" i="52"/>
  <c r="AE57" i="52"/>
  <c r="AD57" i="52"/>
  <c r="AC57" i="52"/>
  <c r="AB57" i="52"/>
  <c r="AA57" i="52"/>
  <c r="Z57" i="52"/>
  <c r="Y57" i="52"/>
  <c r="X57" i="52"/>
  <c r="W57" i="52"/>
  <c r="V57" i="52"/>
  <c r="U57" i="52"/>
  <c r="T57" i="52"/>
  <c r="S57" i="52"/>
  <c r="R57" i="52"/>
  <c r="Q57" i="52"/>
  <c r="P57" i="52"/>
  <c r="O57" i="52"/>
  <c r="N57" i="52"/>
  <c r="M57" i="52"/>
  <c r="L57" i="52"/>
  <c r="K57" i="52"/>
  <c r="J57" i="52"/>
  <c r="I57" i="52"/>
  <c r="H57" i="52"/>
  <c r="G57" i="52"/>
  <c r="F57" i="52"/>
  <c r="E57" i="52"/>
  <c r="D57" i="52"/>
  <c r="C57" i="52"/>
  <c r="B57" i="52"/>
  <c r="A57" i="52"/>
  <c r="AQ56" i="52"/>
  <c r="AP56" i="52"/>
  <c r="AO56" i="52"/>
  <c r="AN56" i="52"/>
  <c r="AM56" i="52"/>
  <c r="AL56" i="52"/>
  <c r="AK56" i="52"/>
  <c r="AJ56" i="52"/>
  <c r="AI56" i="52"/>
  <c r="AH56" i="52"/>
  <c r="AG56" i="52"/>
  <c r="AF56" i="52"/>
  <c r="AE56" i="52"/>
  <c r="AD56" i="52"/>
  <c r="AC56" i="52"/>
  <c r="AB56" i="52"/>
  <c r="AA56" i="52"/>
  <c r="Z56" i="52"/>
  <c r="Y56" i="52"/>
  <c r="X56" i="52"/>
  <c r="W56" i="52"/>
  <c r="V56" i="52"/>
  <c r="U56" i="52"/>
  <c r="T56" i="52"/>
  <c r="S56" i="52"/>
  <c r="R56" i="52"/>
  <c r="Q56" i="52"/>
  <c r="P56" i="52"/>
  <c r="O56" i="52"/>
  <c r="N56" i="52"/>
  <c r="M56" i="52"/>
  <c r="L56" i="52"/>
  <c r="K56" i="52"/>
  <c r="J56" i="52"/>
  <c r="I56" i="52"/>
  <c r="H56" i="52"/>
  <c r="G56" i="52"/>
  <c r="F56" i="52"/>
  <c r="E56" i="52"/>
  <c r="D56" i="52"/>
  <c r="C56" i="52"/>
  <c r="B56" i="52"/>
  <c r="A56"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O55" i="52"/>
  <c r="N55" i="52"/>
  <c r="M55" i="52"/>
  <c r="L55" i="52"/>
  <c r="K55" i="52"/>
  <c r="J55" i="52"/>
  <c r="I55" i="52"/>
  <c r="H55" i="52"/>
  <c r="G55" i="52"/>
  <c r="F55" i="52"/>
  <c r="E55" i="52"/>
  <c r="D55" i="52"/>
  <c r="C55" i="52"/>
  <c r="B55" i="52"/>
  <c r="A55" i="52"/>
  <c r="AQ54" i="52"/>
  <c r="AP54" i="52"/>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F54" i="52"/>
  <c r="E54" i="52"/>
  <c r="D54" i="52"/>
  <c r="C54" i="52"/>
  <c r="B54" i="52"/>
  <c r="A54" i="52"/>
  <c r="AQ53" i="52"/>
  <c r="AP53"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F53" i="52"/>
  <c r="E53" i="52"/>
  <c r="D53" i="52"/>
  <c r="C53" i="52"/>
  <c r="B53" i="52"/>
  <c r="A53" i="52"/>
  <c r="AP51" i="52"/>
  <c r="AO51" i="52"/>
  <c r="AN51" i="52"/>
  <c r="AM51" i="52"/>
  <c r="AL51" i="52"/>
  <c r="AK51" i="52"/>
  <c r="AJ51" i="52"/>
  <c r="AI51" i="52"/>
  <c r="AH51" i="52"/>
  <c r="AG51" i="52"/>
  <c r="W51" i="52"/>
  <c r="V51" i="52"/>
  <c r="U51" i="52"/>
  <c r="T51" i="52"/>
  <c r="S51" i="52"/>
  <c r="R51" i="52"/>
  <c r="AQ36" i="52"/>
  <c r="AQ44" i="52" s="1"/>
  <c r="AP36" i="52"/>
  <c r="AP44" i="52" s="1"/>
  <c r="AO36" i="52"/>
  <c r="AO41" i="52" s="1"/>
  <c r="AN36" i="52"/>
  <c r="AN41" i="52" s="1"/>
  <c r="AM36" i="52"/>
  <c r="AM46" i="52" s="1"/>
  <c r="AL36" i="52"/>
  <c r="AL44" i="52" s="1"/>
  <c r="AK36" i="52"/>
  <c r="AK43" i="52" s="1"/>
  <c r="AJ36" i="52"/>
  <c r="AJ43" i="52" s="1"/>
  <c r="AI36" i="52"/>
  <c r="AI48" i="52" s="1"/>
  <c r="AH36" i="52"/>
  <c r="AH48" i="52" s="1"/>
  <c r="AG36" i="52"/>
  <c r="AG45" i="52" s="1"/>
  <c r="AF36" i="52"/>
  <c r="AF45" i="52" s="1"/>
  <c r="AE36" i="52"/>
  <c r="AE42" i="52" s="1"/>
  <c r="AD36" i="52"/>
  <c r="AD42" i="52" s="1"/>
  <c r="AC36" i="52"/>
  <c r="AC34" i="52" s="1"/>
  <c r="AC37" i="52" s="1"/>
  <c r="L36" i="52"/>
  <c r="L47" i="52" s="1"/>
  <c r="AQ35" i="52"/>
  <c r="AP35"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B35" i="52"/>
  <c r="AB33" i="52"/>
  <c r="AB36" i="52" s="1"/>
  <c r="AB47" i="52" s="1"/>
  <c r="AA33" i="52"/>
  <c r="AA36" i="52" s="1"/>
  <c r="AA41" i="52" s="1"/>
  <c r="Z33" i="52"/>
  <c r="Z36" i="52" s="1"/>
  <c r="Z44" i="52" s="1"/>
  <c r="Y33" i="52"/>
  <c r="Y36" i="52" s="1"/>
  <c r="Y41" i="52" s="1"/>
  <c r="X33" i="52"/>
  <c r="X36" i="52" s="1"/>
  <c r="X39" i="52" s="1"/>
  <c r="W33" i="52"/>
  <c r="W36" i="52" s="1"/>
  <c r="W43" i="52" s="1"/>
  <c r="V33" i="52"/>
  <c r="V36" i="52" s="1"/>
  <c r="V34" i="52" s="1"/>
  <c r="V37" i="52" s="1"/>
  <c r="U33" i="52"/>
  <c r="U36" i="52" s="1"/>
  <c r="U34" i="52" s="1"/>
  <c r="U37" i="52" s="1"/>
  <c r="T33" i="52"/>
  <c r="T36" i="52" s="1"/>
  <c r="T41" i="52" s="1"/>
  <c r="S33" i="52"/>
  <c r="S36" i="52" s="1"/>
  <c r="S34" i="52" s="1"/>
  <c r="S37" i="52" s="1"/>
  <c r="R33" i="52"/>
  <c r="R36" i="52" s="1"/>
  <c r="R46" i="52" s="1"/>
  <c r="Q33" i="52"/>
  <c r="Q36" i="52" s="1"/>
  <c r="Q34" i="52" s="1"/>
  <c r="Q37" i="52" s="1"/>
  <c r="P33" i="52"/>
  <c r="P36" i="52" s="1"/>
  <c r="P45" i="52" s="1"/>
  <c r="O33" i="52"/>
  <c r="O36" i="52" s="1"/>
  <c r="O42" i="52" s="1"/>
  <c r="N33" i="52"/>
  <c r="N36" i="52" s="1"/>
  <c r="N42" i="52" s="1"/>
  <c r="M33" i="52"/>
  <c r="M36" i="52" s="1"/>
  <c r="M44" i="52" s="1"/>
  <c r="L33" i="52"/>
  <c r="K33" i="52"/>
  <c r="K36" i="52" s="1"/>
  <c r="K41" i="52" s="1"/>
  <c r="J33" i="52"/>
  <c r="J36" i="52" s="1"/>
  <c r="J44" i="52" s="1"/>
  <c r="I33" i="52"/>
  <c r="I36" i="52" s="1"/>
  <c r="I41" i="52" s="1"/>
  <c r="H33" i="52"/>
  <c r="H36" i="52" s="1"/>
  <c r="H39" i="52" s="1"/>
  <c r="G33" i="52"/>
  <c r="G36" i="52" s="1"/>
  <c r="G43" i="52" s="1"/>
  <c r="F33" i="52"/>
  <c r="F36" i="52" s="1"/>
  <c r="F44" i="52" s="1"/>
  <c r="E33" i="52"/>
  <c r="E36" i="52" s="1"/>
  <c r="E34" i="52" s="1"/>
  <c r="E37" i="52" s="1"/>
  <c r="D33" i="52"/>
  <c r="D36" i="52" s="1"/>
  <c r="D41" i="52" s="1"/>
  <c r="C33" i="52"/>
  <c r="C36" i="52" s="1"/>
  <c r="C34" i="52" s="1"/>
  <c r="C37" i="52" s="1"/>
  <c r="B33" i="52"/>
  <c r="B36" i="52" s="1"/>
  <c r="B46" i="52" s="1"/>
  <c r="AP30" i="52"/>
  <c r="AO30" i="52"/>
  <c r="AN30" i="52"/>
  <c r="AM30" i="52"/>
  <c r="AL30" i="52"/>
  <c r="AK30" i="52"/>
  <c r="AJ30" i="52"/>
  <c r="AI30" i="52"/>
  <c r="AH30" i="52"/>
  <c r="AG30" i="52"/>
  <c r="AF30" i="52"/>
  <c r="AE30" i="52"/>
  <c r="AD30" i="52"/>
  <c r="AC30" i="52"/>
  <c r="X30" i="52"/>
  <c r="W30" i="52"/>
  <c r="V30" i="52"/>
  <c r="U30" i="52"/>
  <c r="T30" i="52"/>
  <c r="S30" i="52"/>
  <c r="R30" i="52"/>
  <c r="Q30" i="52"/>
  <c r="P30" i="52"/>
  <c r="M30" i="52"/>
  <c r="L30" i="52"/>
  <c r="K30" i="52"/>
  <c r="J30" i="52"/>
  <c r="E30" i="52"/>
  <c r="AP26" i="52"/>
  <c r="AO26" i="52"/>
  <c r="AN26" i="52"/>
  <c r="AM26" i="52"/>
  <c r="AL26" i="52"/>
  <c r="AK26" i="52"/>
  <c r="AJ26" i="52"/>
  <c r="AI26" i="52"/>
  <c r="AH26" i="52"/>
  <c r="AG26" i="52"/>
  <c r="AF26" i="52"/>
  <c r="AE26" i="52"/>
  <c r="AD26" i="52"/>
  <c r="AC26" i="52"/>
  <c r="X26" i="52"/>
  <c r="W26" i="52"/>
  <c r="V26" i="52"/>
  <c r="U26" i="52"/>
  <c r="T26" i="52"/>
  <c r="S26" i="52"/>
  <c r="R26" i="52"/>
  <c r="Q26" i="52"/>
  <c r="P26" i="52"/>
  <c r="M26" i="52"/>
  <c r="L26" i="52"/>
  <c r="K26" i="52"/>
  <c r="J26" i="52"/>
  <c r="E26" i="52"/>
  <c r="AQ24" i="52"/>
  <c r="AB24" i="52"/>
  <c r="AA24" i="52"/>
  <c r="Z24" i="52"/>
  <c r="Y24" i="52"/>
  <c r="X24" i="52"/>
  <c r="Q24" i="52"/>
  <c r="P24" i="52"/>
  <c r="O24" i="52"/>
  <c r="N24" i="52"/>
  <c r="M24" i="52"/>
  <c r="L24" i="52"/>
  <c r="K24" i="52"/>
  <c r="J24" i="52"/>
  <c r="I24" i="52"/>
  <c r="H24" i="52"/>
  <c r="G24" i="52"/>
  <c r="F24" i="52"/>
  <c r="E24" i="52"/>
  <c r="D24" i="52"/>
  <c r="C24" i="52"/>
  <c r="B24" i="52"/>
  <c r="AB18" i="52"/>
  <c r="AP18" i="52" s="1"/>
  <c r="AA18" i="52"/>
  <c r="AO18" i="52" s="1"/>
  <c r="Z18" i="52"/>
  <c r="AN18" i="52" s="1"/>
  <c r="Y18" i="52"/>
  <c r="AM18" i="52" s="1"/>
  <c r="X18" i="52"/>
  <c r="W18" i="52"/>
  <c r="V18" i="52"/>
  <c r="U18" i="52"/>
  <c r="T18" i="52"/>
  <c r="S18" i="52"/>
  <c r="R18" i="52"/>
  <c r="Q18" i="52"/>
  <c r="P18" i="52"/>
  <c r="AL18" i="52" s="1"/>
  <c r="O18" i="52"/>
  <c r="AK18" i="52" s="1"/>
  <c r="N18" i="52"/>
  <c r="AJ18" i="52" s="1"/>
  <c r="M18" i="52"/>
  <c r="AI18" i="52" s="1"/>
  <c r="L18" i="52"/>
  <c r="AH18" i="52" s="1"/>
  <c r="K18" i="52"/>
  <c r="AG18" i="52" s="1"/>
  <c r="J18" i="52"/>
  <c r="AF18" i="52" s="1"/>
  <c r="I18" i="52"/>
  <c r="AE18" i="52" s="1"/>
  <c r="H18" i="52"/>
  <c r="AD18" i="52" s="1"/>
  <c r="G18" i="52"/>
  <c r="AC18" i="52" s="1"/>
  <c r="F18" i="52"/>
  <c r="E18" i="52"/>
  <c r="D18" i="52"/>
  <c r="C18" i="52"/>
  <c r="B18" i="52"/>
  <c r="B11" i="52"/>
  <c r="Z30" i="52" s="1"/>
  <c r="B10" i="52"/>
  <c r="AP24" i="52" s="1"/>
  <c r="B9" i="52"/>
  <c r="AK23" i="52" s="1"/>
  <c r="B7" i="52"/>
  <c r="B8" i="52" s="1"/>
  <c r="C8" i="52" s="1"/>
  <c r="B3" i="52"/>
  <c r="AA34" i="52" l="1"/>
  <c r="AA37" i="52" s="1"/>
  <c r="J34" i="52"/>
  <c r="J37" i="52" s="1"/>
  <c r="R34" i="52"/>
  <c r="R37" i="52" s="1"/>
  <c r="AF34" i="52"/>
  <c r="AF37" i="52" s="1"/>
  <c r="N34" i="52"/>
  <c r="N37" i="52" s="1"/>
  <c r="K34" i="52"/>
  <c r="K37" i="52" s="1"/>
  <c r="AM34" i="52"/>
  <c r="AM37" i="52" s="1"/>
  <c r="F34" i="52"/>
  <c r="F37" i="52" s="1"/>
  <c r="P34" i="52"/>
  <c r="P37" i="52" s="1"/>
  <c r="AD34" i="52"/>
  <c r="AD37" i="52" s="1"/>
  <c r="AB34" i="52"/>
  <c r="AB37" i="52" s="1"/>
  <c r="B34" i="52"/>
  <c r="B37" i="52" s="1"/>
  <c r="W34" i="52"/>
  <c r="W37" i="52" s="1"/>
  <c r="AI34" i="52"/>
  <c r="AI37" i="52" s="1"/>
  <c r="L34" i="52"/>
  <c r="L37" i="52" s="1"/>
  <c r="AN34" i="52"/>
  <c r="AN37" i="52" s="1"/>
  <c r="G34" i="52"/>
  <c r="G37" i="52" s="1"/>
  <c r="AG34" i="52"/>
  <c r="AG37" i="52" s="1"/>
  <c r="X34" i="52"/>
  <c r="X37" i="52" s="1"/>
  <c r="AJ34" i="52"/>
  <c r="AJ37" i="52" s="1"/>
  <c r="AO34" i="52"/>
  <c r="AO37" i="52" s="1"/>
  <c r="H34" i="52"/>
  <c r="H37" i="52" s="1"/>
  <c r="T34" i="52"/>
  <c r="T37" i="52" s="1"/>
  <c r="M34" i="52"/>
  <c r="M37" i="52" s="1"/>
  <c r="AP34" i="52"/>
  <c r="AP37" i="52" s="1"/>
  <c r="Y34" i="52"/>
  <c r="Y37" i="52" s="1"/>
  <c r="AK34" i="52"/>
  <c r="AK37" i="52" s="1"/>
  <c r="D34" i="52"/>
  <c r="D37" i="52" s="1"/>
  <c r="AE34" i="52"/>
  <c r="AE37" i="52" s="1"/>
  <c r="AQ34" i="52"/>
  <c r="AQ37" i="52" s="1"/>
  <c r="Z34" i="52"/>
  <c r="Z37" i="52" s="1"/>
  <c r="I34" i="52"/>
  <c r="I37" i="52" s="1"/>
  <c r="AL34" i="52"/>
  <c r="AL37" i="52" s="1"/>
  <c r="AH34" i="52"/>
  <c r="AH37" i="52" s="1"/>
  <c r="O34" i="52"/>
  <c r="O37" i="52" s="1"/>
  <c r="L75" i="52"/>
  <c r="AH75" i="52" s="1"/>
  <c r="D21" i="52"/>
  <c r="D22" i="52" s="1"/>
  <c r="D26" i="52" s="1"/>
  <c r="J21" i="52"/>
  <c r="J22" i="52" s="1"/>
  <c r="F23" i="52"/>
  <c r="K21" i="52"/>
  <c r="G23" i="52"/>
  <c r="H23" i="52"/>
  <c r="L21" i="52"/>
  <c r="L22" i="52" s="1"/>
  <c r="N21" i="52"/>
  <c r="J23" i="52"/>
  <c r="T21" i="52"/>
  <c r="T22" i="52" s="1"/>
  <c r="P23" i="52"/>
  <c r="AC24" i="52"/>
  <c r="Z21" i="52"/>
  <c r="Z22" i="52" s="1"/>
  <c r="Z26" i="52" s="1"/>
  <c r="V23" i="52"/>
  <c r="AD24" i="52"/>
  <c r="AA30" i="52"/>
  <c r="AQ30" i="52"/>
  <c r="AB21" i="52"/>
  <c r="AB22" i="52" s="1"/>
  <c r="W23" i="52"/>
  <c r="AF24" i="52"/>
  <c r="AB30" i="52"/>
  <c r="AD21" i="52"/>
  <c r="AD22" i="52" s="1"/>
  <c r="X23" i="52"/>
  <c r="AL24" i="52"/>
  <c r="AJ21" i="52"/>
  <c r="AJ22" i="52" s="1"/>
  <c r="Z23" i="52"/>
  <c r="AP21" i="52"/>
  <c r="AP22" i="52" s="1"/>
  <c r="AF23" i="52"/>
  <c r="AQ21" i="52"/>
  <c r="AQ22" i="52" s="1"/>
  <c r="AQ26" i="52" s="1"/>
  <c r="AL23" i="52"/>
  <c r="O30" i="52"/>
  <c r="AN23" i="52"/>
  <c r="AP23" i="52"/>
  <c r="AM23" i="52"/>
  <c r="V24" i="52"/>
  <c r="AE39" i="52"/>
  <c r="Z42" i="52"/>
  <c r="Y46" i="52"/>
  <c r="AK39" i="52"/>
  <c r="AG42" i="52"/>
  <c r="AK46" i="52"/>
  <c r="AN39" i="52"/>
  <c r="AJ42" i="52"/>
  <c r="AO46" i="52"/>
  <c r="AP39" i="52"/>
  <c r="AK42" i="52"/>
  <c r="O47" i="52"/>
  <c r="AQ39" i="52"/>
  <c r="AP42" i="52"/>
  <c r="AE47" i="52"/>
  <c r="N40" i="52"/>
  <c r="AQ42" i="52"/>
  <c r="AQ47" i="52"/>
  <c r="AD40" i="52"/>
  <c r="P43" i="52"/>
  <c r="AK48" i="52"/>
  <c r="AJ40" i="52"/>
  <c r="AF43" i="52"/>
  <c r="AK40" i="52"/>
  <c r="AM43" i="52"/>
  <c r="AQ40" i="52"/>
  <c r="AQ43" i="52"/>
  <c r="AJ41" i="52"/>
  <c r="L45" i="52"/>
  <c r="J39" i="52"/>
  <c r="AK41" i="52"/>
  <c r="AB45" i="52"/>
  <c r="O39" i="52"/>
  <c r="AQ41" i="52"/>
  <c r="AI45" i="52"/>
  <c r="Z39" i="52"/>
  <c r="J42" i="52"/>
  <c r="I46" i="52"/>
  <c r="AB26" i="52"/>
  <c r="V46" i="52"/>
  <c r="V41" i="52"/>
  <c r="V47" i="52"/>
  <c r="C117" i="52" s="1"/>
  <c r="D117" i="52" s="1"/>
  <c r="E117" i="52" s="1"/>
  <c r="F117" i="52" s="1"/>
  <c r="V39" i="52"/>
  <c r="V42" i="52"/>
  <c r="V45" i="52"/>
  <c r="V48" i="52"/>
  <c r="C118" i="52" s="1"/>
  <c r="D118" i="52" s="1"/>
  <c r="E118" i="52" s="1"/>
  <c r="F118" i="52" s="1"/>
  <c r="V40" i="52"/>
  <c r="V43" i="52"/>
  <c r="Q45" i="52"/>
  <c r="Q51" i="52"/>
  <c r="Q50" i="52" s="1"/>
  <c r="Q48" i="52"/>
  <c r="Q40" i="52"/>
  <c r="Q43" i="52"/>
  <c r="Q46" i="52"/>
  <c r="Q41" i="52"/>
  <c r="Q44" i="52"/>
  <c r="Q47" i="52"/>
  <c r="Q39" i="52"/>
  <c r="B51" i="52"/>
  <c r="B50" i="52" s="1"/>
  <c r="B48" i="52"/>
  <c r="B40" i="52"/>
  <c r="B43" i="52"/>
  <c r="B41" i="52"/>
  <c r="B44" i="52"/>
  <c r="B47" i="52"/>
  <c r="B39" i="52"/>
  <c r="B42" i="52"/>
  <c r="B45" i="52"/>
  <c r="R48" i="52"/>
  <c r="R40" i="52"/>
  <c r="R43" i="52"/>
  <c r="R41" i="52"/>
  <c r="R44" i="52"/>
  <c r="R47" i="52"/>
  <c r="R39" i="52"/>
  <c r="R42" i="52"/>
  <c r="R45" i="52"/>
  <c r="C51" i="52"/>
  <c r="C50" i="52" s="1"/>
  <c r="C48" i="52"/>
  <c r="C40" i="52"/>
  <c r="C43" i="52"/>
  <c r="C46" i="52"/>
  <c r="C41" i="52"/>
  <c r="C44" i="52"/>
  <c r="C47" i="52"/>
  <c r="C39" i="52"/>
  <c r="C42" i="52"/>
  <c r="S48" i="52"/>
  <c r="S40" i="52"/>
  <c r="S43" i="52"/>
  <c r="S46" i="52"/>
  <c r="S41" i="52"/>
  <c r="S44" i="52"/>
  <c r="S47" i="52"/>
  <c r="S39" i="52"/>
  <c r="S42" i="52"/>
  <c r="AC47" i="52"/>
  <c r="AC39" i="52"/>
  <c r="AC42" i="52"/>
  <c r="AC45" i="52"/>
  <c r="AC51" i="52"/>
  <c r="AC48" i="52"/>
  <c r="AC40" i="52"/>
  <c r="AC43" i="52"/>
  <c r="AC46" i="52"/>
  <c r="AC41" i="52"/>
  <c r="E43" i="52"/>
  <c r="E46" i="52"/>
  <c r="E41" i="52"/>
  <c r="E44" i="52"/>
  <c r="E47" i="52"/>
  <c r="E39" i="52"/>
  <c r="E42" i="52"/>
  <c r="E45" i="52"/>
  <c r="U43" i="52"/>
  <c r="U46" i="52"/>
  <c r="U41" i="52"/>
  <c r="U44" i="52"/>
  <c r="U47" i="52"/>
  <c r="U39" i="52"/>
  <c r="U42" i="52"/>
  <c r="U45" i="52"/>
  <c r="V44" i="52"/>
  <c r="Q42" i="52"/>
  <c r="AC44" i="52"/>
  <c r="E48" i="52"/>
  <c r="T43" i="52"/>
  <c r="T46" i="52"/>
  <c r="T44" i="52"/>
  <c r="T47" i="52"/>
  <c r="T39" i="52"/>
  <c r="T42" i="52"/>
  <c r="T45" i="52"/>
  <c r="T48" i="52"/>
  <c r="T40" i="52"/>
  <c r="W46" i="52"/>
  <c r="W41" i="52"/>
  <c r="W44" i="52"/>
  <c r="W47" i="52"/>
  <c r="W39" i="52"/>
  <c r="W42" i="52"/>
  <c r="W45" i="52"/>
  <c r="W48" i="52"/>
  <c r="W40" i="52"/>
  <c r="E40" i="52"/>
  <c r="U48" i="52"/>
  <c r="X41" i="52"/>
  <c r="X44" i="52"/>
  <c r="X47" i="52"/>
  <c r="X42" i="52"/>
  <c r="X45" i="52"/>
  <c r="X51" i="52"/>
  <c r="X50" i="52" s="1"/>
  <c r="X48" i="52"/>
  <c r="X40" i="52"/>
  <c r="X43" i="52"/>
  <c r="X46" i="52"/>
  <c r="C45" i="52"/>
  <c r="B82" i="52"/>
  <c r="N79" i="52"/>
  <c r="AJ79" i="52" s="1"/>
  <c r="Z75" i="52"/>
  <c r="AN75" i="52" s="1"/>
  <c r="J75" i="52"/>
  <c r="AF75" i="52" s="1"/>
  <c r="M79" i="52"/>
  <c r="AI79" i="52" s="1"/>
  <c r="Y75" i="52"/>
  <c r="AM75" i="52" s="1"/>
  <c r="I75" i="52"/>
  <c r="AE75" i="52" s="1"/>
  <c r="AB79" i="52"/>
  <c r="AP79" i="52" s="1"/>
  <c r="L79" i="52"/>
  <c r="AH79" i="52" s="1"/>
  <c r="X75" i="52"/>
  <c r="H75" i="52"/>
  <c r="AD75" i="52" s="1"/>
  <c r="AQ79" i="52"/>
  <c r="AA79" i="52"/>
  <c r="AO79" i="52" s="1"/>
  <c r="K79" i="52"/>
  <c r="AG79" i="52" s="1"/>
  <c r="W75" i="52"/>
  <c r="G75" i="52"/>
  <c r="AC75" i="52" s="1"/>
  <c r="Z79" i="52"/>
  <c r="AN79" i="52" s="1"/>
  <c r="J79" i="52"/>
  <c r="AF79" i="52" s="1"/>
  <c r="V75" i="52"/>
  <c r="F75" i="52"/>
  <c r="Y79" i="52"/>
  <c r="AM79" i="52" s="1"/>
  <c r="I79" i="52"/>
  <c r="AE79" i="52" s="1"/>
  <c r="U75" i="52"/>
  <c r="E75" i="52"/>
  <c r="X79" i="52"/>
  <c r="H79" i="52"/>
  <c r="AD79" i="52" s="1"/>
  <c r="T75" i="52"/>
  <c r="D75" i="52"/>
  <c r="W79" i="52"/>
  <c r="G79" i="52"/>
  <c r="AC79" i="52" s="1"/>
  <c r="S75" i="52"/>
  <c r="C75" i="52"/>
  <c r="V79" i="52"/>
  <c r="F79" i="52"/>
  <c r="R75" i="52"/>
  <c r="B75" i="52"/>
  <c r="U79" i="52"/>
  <c r="E79" i="52"/>
  <c r="Q75" i="52"/>
  <c r="T79" i="52"/>
  <c r="D79" i="52"/>
  <c r="P75" i="52"/>
  <c r="AL75" i="52" s="1"/>
  <c r="S79" i="52"/>
  <c r="C79" i="52"/>
  <c r="O75" i="52"/>
  <c r="AK75" i="52" s="1"/>
  <c r="R79" i="52"/>
  <c r="B79" i="52"/>
  <c r="N75" i="52"/>
  <c r="AJ75" i="52" s="1"/>
  <c r="Q79" i="52"/>
  <c r="M75" i="52"/>
  <c r="AI75" i="52" s="1"/>
  <c r="O79" i="52"/>
  <c r="AK79" i="52" s="1"/>
  <c r="AQ75" i="52"/>
  <c r="AA75" i="52"/>
  <c r="AO75" i="52" s="1"/>
  <c r="K75" i="52"/>
  <c r="AG75" i="52" s="1"/>
  <c r="U40" i="52"/>
  <c r="L28" i="52"/>
  <c r="G46" i="52"/>
  <c r="G41" i="52"/>
  <c r="G44" i="52"/>
  <c r="G47" i="52"/>
  <c r="G39" i="52"/>
  <c r="G42" i="52"/>
  <c r="G45" i="52"/>
  <c r="G51" i="52"/>
  <c r="G50" i="52" s="1"/>
  <c r="G48" i="52"/>
  <c r="G40" i="52"/>
  <c r="S45" i="52"/>
  <c r="E51" i="52"/>
  <c r="E50" i="52" s="1"/>
  <c r="D43" i="52"/>
  <c r="D46" i="52"/>
  <c r="D44" i="52"/>
  <c r="D47" i="52"/>
  <c r="D39" i="52"/>
  <c r="D42" i="52"/>
  <c r="D45" i="52"/>
  <c r="D51" i="52"/>
  <c r="D50" i="52" s="1"/>
  <c r="D48" i="52"/>
  <c r="D40" i="52"/>
  <c r="K22" i="52"/>
  <c r="H41" i="52"/>
  <c r="H44" i="52"/>
  <c r="H47" i="52"/>
  <c r="H42" i="52"/>
  <c r="H45" i="52"/>
  <c r="H51" i="52"/>
  <c r="H50" i="52" s="1"/>
  <c r="H48" i="52"/>
  <c r="H40" i="52"/>
  <c r="H43" i="52"/>
  <c r="H46" i="52"/>
  <c r="K44" i="52"/>
  <c r="K47" i="52"/>
  <c r="K39" i="52"/>
  <c r="K42" i="52"/>
  <c r="K45" i="52"/>
  <c r="K51" i="52"/>
  <c r="K50" i="52" s="1"/>
  <c r="K48" i="52"/>
  <c r="K40" i="52"/>
  <c r="K43" i="52"/>
  <c r="K46" i="52"/>
  <c r="M47" i="52"/>
  <c r="M39" i="52"/>
  <c r="M42" i="52"/>
  <c r="M45" i="52"/>
  <c r="M51" i="52"/>
  <c r="M50" i="52" s="1"/>
  <c r="M48" i="52"/>
  <c r="M40" i="52"/>
  <c r="M43" i="52"/>
  <c r="M46" i="52"/>
  <c r="M41" i="52"/>
  <c r="AB75" i="52"/>
  <c r="AP75" i="52" s="1"/>
  <c r="J25" i="52"/>
  <c r="J27" i="52" s="1"/>
  <c r="F46" i="52"/>
  <c r="F41" i="52"/>
  <c r="F47" i="52"/>
  <c r="F39" i="52"/>
  <c r="F42" i="52"/>
  <c r="F45" i="52"/>
  <c r="F51" i="52"/>
  <c r="F50" i="52" s="1"/>
  <c r="F48" i="52"/>
  <c r="F40" i="52"/>
  <c r="F43" i="52"/>
  <c r="N22" i="52"/>
  <c r="Z25" i="52"/>
  <c r="Z27" i="52" s="1"/>
  <c r="AA44" i="52"/>
  <c r="AA47" i="52"/>
  <c r="AA39" i="52"/>
  <c r="AA42" i="52"/>
  <c r="AA45" i="52"/>
  <c r="AA51" i="52"/>
  <c r="AA50" i="52" s="1"/>
  <c r="AA48" i="52"/>
  <c r="AA40" i="52"/>
  <c r="AA43" i="52"/>
  <c r="AA46" i="52"/>
  <c r="AO21" i="52"/>
  <c r="Y21" i="52"/>
  <c r="I21" i="52"/>
  <c r="X21" i="52"/>
  <c r="H21" i="52"/>
  <c r="W21" i="52"/>
  <c r="AL21" i="52"/>
  <c r="F21" i="52"/>
  <c r="U21" i="52"/>
  <c r="AN21" i="52"/>
  <c r="G21" i="52"/>
  <c r="E21" i="52"/>
  <c r="AM21" i="52"/>
  <c r="AK21" i="52"/>
  <c r="V21" i="52"/>
  <c r="AI21" i="52"/>
  <c r="S21" i="52"/>
  <c r="C21" i="52"/>
  <c r="Q21" i="52"/>
  <c r="AH21" i="52"/>
  <c r="R21" i="52"/>
  <c r="B21" i="52"/>
  <c r="AG21" i="52"/>
  <c r="AF21" i="52"/>
  <c r="P21" i="52"/>
  <c r="AE21" i="52"/>
  <c r="O21" i="52"/>
  <c r="AC21" i="52"/>
  <c r="M21" i="52"/>
  <c r="AA21" i="52"/>
  <c r="AL46" i="52"/>
  <c r="AL41" i="52"/>
  <c r="AL47" i="52"/>
  <c r="AL39" i="52"/>
  <c r="AL42" i="52"/>
  <c r="AL45" i="52"/>
  <c r="AL48" i="52"/>
  <c r="AL40" i="52"/>
  <c r="AL43" i="52"/>
  <c r="N39" i="52"/>
  <c r="AD39" i="52"/>
  <c r="J41" i="52"/>
  <c r="Z41" i="52"/>
  <c r="AP41" i="52"/>
  <c r="P42" i="52"/>
  <c r="AF42" i="52"/>
  <c r="L44" i="52"/>
  <c r="AB44" i="52"/>
  <c r="AH45" i="52"/>
  <c r="AN46" i="52"/>
  <c r="N47" i="52"/>
  <c r="AD47" i="52"/>
  <c r="AJ48" i="52"/>
  <c r="P39" i="52"/>
  <c r="AF39" i="52"/>
  <c r="L41" i="52"/>
  <c r="AB41" i="52"/>
  <c r="AH42" i="52"/>
  <c r="AN43" i="52"/>
  <c r="N44" i="52"/>
  <c r="AD44" i="52"/>
  <c r="AJ45" i="52"/>
  <c r="J46" i="52"/>
  <c r="Z46" i="52"/>
  <c r="AP46" i="52"/>
  <c r="P47" i="52"/>
  <c r="AF47" i="52"/>
  <c r="I23" i="52"/>
  <c r="Y23" i="52"/>
  <c r="AO23" i="52"/>
  <c r="AE24" i="52"/>
  <c r="N30" i="52"/>
  <c r="AG39" i="52"/>
  <c r="AM40" i="52"/>
  <c r="AI42" i="52"/>
  <c r="I43" i="52"/>
  <c r="Y43" i="52"/>
  <c r="AO43" i="52"/>
  <c r="O44" i="52"/>
  <c r="AE44" i="52"/>
  <c r="AK45" i="52"/>
  <c r="AQ46" i="52"/>
  <c r="AG47" i="52"/>
  <c r="AM48" i="52"/>
  <c r="AH39" i="52"/>
  <c r="AN40" i="52"/>
  <c r="N41" i="52"/>
  <c r="AD41" i="52"/>
  <c r="J43" i="52"/>
  <c r="Z43" i="52"/>
  <c r="AP43" i="52"/>
  <c r="P44" i="52"/>
  <c r="AF44" i="52"/>
  <c r="L46" i="52"/>
  <c r="AB46" i="52"/>
  <c r="AH47" i="52"/>
  <c r="AN48" i="52"/>
  <c r="K23" i="52"/>
  <c r="K25" i="52" s="1"/>
  <c r="K27" i="52" s="1"/>
  <c r="AA23" i="52"/>
  <c r="AQ23" i="52"/>
  <c r="AG24" i="52"/>
  <c r="AI39" i="52"/>
  <c r="I40" i="52"/>
  <c r="Y40" i="52"/>
  <c r="AO40" i="52"/>
  <c r="O41" i="52"/>
  <c r="AE41" i="52"/>
  <c r="AG44" i="52"/>
  <c r="AM45" i="52"/>
  <c r="AI47" i="52"/>
  <c r="I48" i="52"/>
  <c r="Y48" i="52"/>
  <c r="AO48" i="52"/>
  <c r="I51" i="52"/>
  <c r="I50" i="52" s="1"/>
  <c r="Y51" i="52"/>
  <c r="Y50" i="52" s="1"/>
  <c r="R24" i="52"/>
  <c r="AJ39" i="52"/>
  <c r="J40" i="52"/>
  <c r="Z40" i="52"/>
  <c r="AP40" i="52"/>
  <c r="P41" i="52"/>
  <c r="AF41" i="52"/>
  <c r="L43" i="52"/>
  <c r="AB43" i="52"/>
  <c r="AH44" i="52"/>
  <c r="AN45" i="52"/>
  <c r="N46" i="52"/>
  <c r="AD46" i="52"/>
  <c r="AJ47" i="52"/>
  <c r="J48" i="52"/>
  <c r="Z48" i="52"/>
  <c r="AP48" i="52"/>
  <c r="J51" i="52"/>
  <c r="J50" i="52" s="1"/>
  <c r="Z51" i="52"/>
  <c r="Z50" i="52" s="1"/>
  <c r="AI24" i="52"/>
  <c r="B30" i="52"/>
  <c r="AG41" i="52"/>
  <c r="AM42" i="52"/>
  <c r="AI44" i="52"/>
  <c r="I45" i="52"/>
  <c r="Y45" i="52"/>
  <c r="AO45" i="52"/>
  <c r="O46" i="52"/>
  <c r="AE46" i="52"/>
  <c r="AK47" i="52"/>
  <c r="AQ48" i="52"/>
  <c r="AQ51" i="52"/>
  <c r="AQ50" i="52" s="1"/>
  <c r="L23" i="52"/>
  <c r="L25" i="52" s="1"/>
  <c r="L27" i="52" s="1"/>
  <c r="AH24" i="52"/>
  <c r="N23" i="52"/>
  <c r="N25" i="52" s="1"/>
  <c r="AD23" i="52"/>
  <c r="T24" i="52"/>
  <c r="AJ24" i="52"/>
  <c r="C30" i="52"/>
  <c r="L40" i="52"/>
  <c r="AB40" i="52"/>
  <c r="AH41" i="52"/>
  <c r="AN42" i="52"/>
  <c r="N43" i="52"/>
  <c r="AD43" i="52"/>
  <c r="AJ44" i="52"/>
  <c r="J45" i="52"/>
  <c r="Z45" i="52"/>
  <c r="AP45" i="52"/>
  <c r="P46" i="52"/>
  <c r="AF46" i="52"/>
  <c r="L48" i="52"/>
  <c r="AB48" i="52"/>
  <c r="L51" i="52"/>
  <c r="L50" i="52" s="1"/>
  <c r="AB51" i="52"/>
  <c r="AB50" i="52" s="1"/>
  <c r="AB23" i="52"/>
  <c r="AB25" i="52" s="1"/>
  <c r="AB27" i="52" s="1"/>
  <c r="M23" i="52"/>
  <c r="AC23" i="52"/>
  <c r="S24" i="52"/>
  <c r="O23" i="52"/>
  <c r="AE23" i="52"/>
  <c r="U24" i="52"/>
  <c r="AK24" i="52"/>
  <c r="D30" i="52"/>
  <c r="AM39" i="52"/>
  <c r="AI41" i="52"/>
  <c r="I42" i="52"/>
  <c r="Y42" i="52"/>
  <c r="AO42" i="52"/>
  <c r="O43" i="52"/>
  <c r="AE43" i="52"/>
  <c r="AK44" i="52"/>
  <c r="AQ45" i="52"/>
  <c r="AG46" i="52"/>
  <c r="AM47" i="52"/>
  <c r="AH46" i="52"/>
  <c r="AN47" i="52"/>
  <c r="N48" i="52"/>
  <c r="AD48" i="52"/>
  <c r="N51" i="52"/>
  <c r="N50" i="52" s="1"/>
  <c r="AD51" i="52"/>
  <c r="Q23" i="52"/>
  <c r="AG23" i="52"/>
  <c r="W24" i="52"/>
  <c r="AM24" i="52"/>
  <c r="F30" i="52"/>
  <c r="I39" i="52"/>
  <c r="Y39" i="52"/>
  <c r="AO39" i="52"/>
  <c r="O40" i="52"/>
  <c r="AE40" i="52"/>
  <c r="AG43" i="52"/>
  <c r="AM44" i="52"/>
  <c r="AI46" i="52"/>
  <c r="I47" i="52"/>
  <c r="Y47" i="52"/>
  <c r="AO47" i="52"/>
  <c r="O48" i="52"/>
  <c r="AE48" i="52"/>
  <c r="O51" i="52"/>
  <c r="O50" i="52" s="1"/>
  <c r="AE51" i="52"/>
  <c r="G30" i="52"/>
  <c r="P40" i="52"/>
  <c r="AF40" i="52"/>
  <c r="L42" i="52"/>
  <c r="AB42" i="52"/>
  <c r="AH43" i="52"/>
  <c r="AN44" i="52"/>
  <c r="N45" i="52"/>
  <c r="AD45" i="52"/>
  <c r="AJ46" i="52"/>
  <c r="J47" i="52"/>
  <c r="Z47" i="52"/>
  <c r="AP47" i="52"/>
  <c r="P48" i="52"/>
  <c r="AF48" i="52"/>
  <c r="P51" i="52"/>
  <c r="P50" i="52" s="1"/>
  <c r="AF51" i="52"/>
  <c r="R23" i="52"/>
  <c r="AN24" i="52"/>
  <c r="C23" i="52"/>
  <c r="AI23" i="52"/>
  <c r="AG40" i="52"/>
  <c r="AM41" i="52"/>
  <c r="AI43" i="52"/>
  <c r="I44" i="52"/>
  <c r="Y44" i="52"/>
  <c r="AO44" i="52"/>
  <c r="O45" i="52"/>
  <c r="AE45" i="52"/>
  <c r="AG48" i="52"/>
  <c r="B23" i="52"/>
  <c r="S23" i="52"/>
  <c r="AO24" i="52"/>
  <c r="H30" i="52"/>
  <c r="T23" i="52"/>
  <c r="AJ23" i="52"/>
  <c r="I30" i="52"/>
  <c r="Y30" i="52"/>
  <c r="L39" i="52"/>
  <c r="AB39" i="52"/>
  <c r="AH40" i="52"/>
  <c r="AH23" i="52"/>
  <c r="D23" i="52"/>
  <c r="D25" i="52" s="1"/>
  <c r="D27" i="52" s="1"/>
  <c r="E23" i="52"/>
  <c r="U23" i="52"/>
  <c r="AI40" i="52"/>
  <c r="AJ25" i="52" l="1"/>
  <c r="AJ27" i="52" s="1"/>
  <c r="AD25" i="52"/>
  <c r="AD27" i="52" s="1"/>
  <c r="C111" i="52"/>
  <c r="D111" i="52" s="1"/>
  <c r="E111" i="52" s="1"/>
  <c r="F111" i="52" s="1"/>
  <c r="AQ25" i="52"/>
  <c r="AQ27" i="52" s="1"/>
  <c r="C116" i="52"/>
  <c r="D116" i="52" s="1"/>
  <c r="C113" i="52"/>
  <c r="D113" i="52" s="1"/>
  <c r="E113" i="52" s="1"/>
  <c r="F113" i="52" s="1"/>
  <c r="C110" i="52"/>
  <c r="D110" i="52" s="1"/>
  <c r="E110" i="52" s="1"/>
  <c r="F110" i="52" s="1"/>
  <c r="C115" i="52"/>
  <c r="D115" i="52" s="1"/>
  <c r="E115" i="52" s="1"/>
  <c r="F115" i="52" s="1"/>
  <c r="T25" i="52"/>
  <c r="T27" i="52" s="1"/>
  <c r="C112" i="52"/>
  <c r="D112" i="52" s="1"/>
  <c r="C114" i="52"/>
  <c r="D114" i="52" s="1"/>
  <c r="AP25" i="52"/>
  <c r="AP27" i="52" s="1"/>
  <c r="V22" i="52"/>
  <c r="V25" i="52"/>
  <c r="V27" i="52" s="1"/>
  <c r="C109" i="52"/>
  <c r="D109" i="52" s="1"/>
  <c r="E109" i="52" s="1"/>
  <c r="F109" i="52" s="1"/>
  <c r="M22" i="52"/>
  <c r="M25" i="52"/>
  <c r="M27" i="52" s="1"/>
  <c r="AM22" i="52"/>
  <c r="AM25" i="52"/>
  <c r="AM27" i="52" s="1"/>
  <c r="AC22" i="52"/>
  <c r="AC25" i="52"/>
  <c r="AC27" i="52" s="1"/>
  <c r="E22" i="52"/>
  <c r="E25" i="52"/>
  <c r="E27" i="52" s="1"/>
  <c r="AK22" i="52"/>
  <c r="AK25" i="52"/>
  <c r="AK27" i="52" s="1"/>
  <c r="O22" i="52"/>
  <c r="O25" i="52"/>
  <c r="G22" i="52"/>
  <c r="G25" i="52"/>
  <c r="AE22" i="52"/>
  <c r="AE25" i="52"/>
  <c r="AE27" i="52" s="1"/>
  <c r="AN22" i="52"/>
  <c r="AN25" i="52"/>
  <c r="AN27" i="52" s="1"/>
  <c r="P25" i="52"/>
  <c r="P27" i="52" s="1"/>
  <c r="P22" i="52"/>
  <c r="U22" i="52"/>
  <c r="U25" i="52"/>
  <c r="U27" i="52" s="1"/>
  <c r="AF25" i="52"/>
  <c r="AF27" i="52" s="1"/>
  <c r="AF22" i="52"/>
  <c r="F22" i="52"/>
  <c r="F25" i="52"/>
  <c r="X78" i="52"/>
  <c r="H78" i="52"/>
  <c r="AD78" i="52" s="1"/>
  <c r="P76" i="52"/>
  <c r="AL76" i="52" s="1"/>
  <c r="G78" i="52"/>
  <c r="AC78" i="52" s="1"/>
  <c r="O76" i="52"/>
  <c r="AK76" i="52" s="1"/>
  <c r="F78" i="52"/>
  <c r="N76" i="52"/>
  <c r="AJ76" i="52" s="1"/>
  <c r="E78" i="52"/>
  <c r="M76" i="52"/>
  <c r="AI76" i="52" s="1"/>
  <c r="D78" i="52"/>
  <c r="AB76" i="52"/>
  <c r="AP76" i="52" s="1"/>
  <c r="L76" i="52"/>
  <c r="AH76" i="52" s="1"/>
  <c r="C78" i="52"/>
  <c r="AQ76" i="52"/>
  <c r="AA76" i="52"/>
  <c r="AO76" i="52" s="1"/>
  <c r="K76" i="52"/>
  <c r="AG76" i="52" s="1"/>
  <c r="B78" i="52"/>
  <c r="Z76" i="52"/>
  <c r="AN76" i="52" s="1"/>
  <c r="J76" i="52"/>
  <c r="AF76" i="52" s="1"/>
  <c r="Q78" i="52"/>
  <c r="Y76" i="52"/>
  <c r="AM76" i="52" s="1"/>
  <c r="I76" i="52"/>
  <c r="AE76" i="52" s="1"/>
  <c r="P78" i="52"/>
  <c r="AL78" i="52" s="1"/>
  <c r="X76" i="52"/>
  <c r="H76" i="52"/>
  <c r="AD76" i="52" s="1"/>
  <c r="O78" i="52"/>
  <c r="AK78" i="52" s="1"/>
  <c r="W76" i="52"/>
  <c r="G76" i="52"/>
  <c r="AC76" i="52" s="1"/>
  <c r="N78" i="52"/>
  <c r="AJ78" i="52" s="1"/>
  <c r="V76" i="52"/>
  <c r="F76" i="52"/>
  <c r="M78" i="52"/>
  <c r="AI78" i="52" s="1"/>
  <c r="U76" i="52"/>
  <c r="E76" i="52"/>
  <c r="AB78" i="52"/>
  <c r="AP78" i="52" s="1"/>
  <c r="L78" i="52"/>
  <c r="AH78" i="52" s="1"/>
  <c r="T76" i="52"/>
  <c r="D76" i="52"/>
  <c r="AQ78" i="52"/>
  <c r="AQ18" i="52" s="1"/>
  <c r="AA78" i="52"/>
  <c r="AO78" i="52" s="1"/>
  <c r="K78" i="52"/>
  <c r="AG78" i="52" s="1"/>
  <c r="S76" i="52"/>
  <c r="C76" i="52"/>
  <c r="Y78" i="52"/>
  <c r="AM78" i="52" s="1"/>
  <c r="I78" i="52"/>
  <c r="AE78" i="52" s="1"/>
  <c r="Q76" i="52"/>
  <c r="B76" i="52"/>
  <c r="Z78" i="52"/>
  <c r="AN78" i="52" s="1"/>
  <c r="J78" i="52"/>
  <c r="AF78" i="52" s="1"/>
  <c r="R76" i="52"/>
  <c r="AA22" i="52"/>
  <c r="AA25" i="52"/>
  <c r="AG25" i="52"/>
  <c r="AG27" i="52" s="1"/>
  <c r="AG22" i="52"/>
  <c r="AL25" i="52"/>
  <c r="AL27" i="52" s="1"/>
  <c r="AL22" i="52"/>
  <c r="M28" i="52"/>
  <c r="B25" i="52"/>
  <c r="B22" i="52"/>
  <c r="W22" i="52"/>
  <c r="W25" i="52"/>
  <c r="W27" i="52" s="1"/>
  <c r="H25" i="52"/>
  <c r="H22" i="52"/>
  <c r="AH22" i="52"/>
  <c r="AH25" i="52"/>
  <c r="AH27" i="52" s="1"/>
  <c r="X22" i="52"/>
  <c r="X25" i="52"/>
  <c r="X27" i="52" s="1"/>
  <c r="R25" i="52"/>
  <c r="R27" i="52" s="1"/>
  <c r="R22" i="52"/>
  <c r="Q25" i="52"/>
  <c r="Q27" i="52" s="1"/>
  <c r="Q22" i="52"/>
  <c r="I22" i="52"/>
  <c r="I25" i="52"/>
  <c r="P28" i="52"/>
  <c r="N26" i="52"/>
  <c r="N27" i="52" s="1"/>
  <c r="C22" i="52"/>
  <c r="C25" i="52"/>
  <c r="S22" i="52"/>
  <c r="S25" i="52"/>
  <c r="S27" i="52" s="1"/>
  <c r="AO22" i="52"/>
  <c r="AO25" i="52"/>
  <c r="AO27" i="52" s="1"/>
  <c r="Y22" i="52"/>
  <c r="Y25" i="52"/>
  <c r="AI22" i="52"/>
  <c r="AK28" i="52" s="1"/>
  <c r="AI25" i="52"/>
  <c r="AI27" i="52" s="1"/>
  <c r="AF28" i="52" l="1"/>
  <c r="AI28" i="52"/>
  <c r="AL28" i="52"/>
  <c r="T28" i="52"/>
  <c r="AN28" i="52"/>
  <c r="U28" i="52"/>
  <c r="AA28" i="52"/>
  <c r="Y26" i="52"/>
  <c r="Y27" i="52" s="1"/>
  <c r="B28" i="52"/>
  <c r="AC28" i="52"/>
  <c r="AA26" i="52"/>
  <c r="AA27" i="52" s="1"/>
  <c r="AB28" i="52"/>
  <c r="Y28" i="52"/>
  <c r="G28" i="52"/>
  <c r="F28" i="52"/>
  <c r="D28" i="52"/>
  <c r="B26" i="52"/>
  <c r="B27" i="52" s="1"/>
  <c r="C28" i="52"/>
  <c r="AP28" i="52"/>
  <c r="AE28" i="52"/>
  <c r="AD28" i="52"/>
  <c r="AG28" i="52"/>
  <c r="Z28" i="52"/>
  <c r="F26" i="52"/>
  <c r="F27" i="52" s="1"/>
  <c r="H28" i="52"/>
  <c r="AO28" i="52"/>
  <c r="AH28" i="52"/>
  <c r="AJ28" i="52"/>
  <c r="O28" i="52"/>
  <c r="N28" i="52"/>
  <c r="C26" i="52"/>
  <c r="C27" i="52" s="1"/>
  <c r="E28" i="52"/>
  <c r="G26" i="52"/>
  <c r="G27" i="52" s="1"/>
  <c r="I28" i="52"/>
  <c r="Q28" i="52"/>
  <c r="O26" i="52"/>
  <c r="O27" i="52" s="1"/>
  <c r="J28" i="52"/>
  <c r="H26" i="52"/>
  <c r="H27" i="52" s="1"/>
  <c r="AM28" i="52"/>
  <c r="X28" i="52"/>
  <c r="K28" i="52"/>
  <c r="I26" i="52"/>
  <c r="I27" i="52" s="1"/>
  <c r="W28" i="52"/>
  <c r="V28" i="52"/>
  <c r="S28" i="52"/>
  <c r="R28" i="52"/>
  <c r="D117" i="39" l="1"/>
  <c r="D118" i="39"/>
  <c r="B81" i="39" l="1" a="1"/>
  <c r="B81" i="39" s="1"/>
  <c r="A121" i="39" l="1"/>
  <c r="A120" i="39"/>
  <c r="A119" i="39"/>
  <c r="A118" i="39"/>
  <c r="A117" i="39"/>
  <c r="A116" i="39"/>
  <c r="A115" i="39"/>
  <c r="A114" i="39"/>
  <c r="A113" i="39"/>
  <c r="A112" i="39"/>
  <c r="A111" i="39"/>
  <c r="A110" i="39"/>
  <c r="A109" i="39"/>
  <c r="A108" i="39"/>
  <c r="A121" i="42"/>
  <c r="A120" i="42"/>
  <c r="A119" i="42"/>
  <c r="A118" i="42"/>
  <c r="A117" i="42"/>
  <c r="A116" i="42"/>
  <c r="A115" i="42"/>
  <c r="A114" i="42"/>
  <c r="A113" i="42"/>
  <c r="A112" i="42"/>
  <c r="A111" i="42"/>
  <c r="A110" i="42"/>
  <c r="A109" i="42"/>
  <c r="A108" i="42"/>
  <c r="A121" i="41"/>
  <c r="A120" i="41"/>
  <c r="A119" i="41"/>
  <c r="A118" i="41"/>
  <c r="A117" i="41"/>
  <c r="A116" i="41"/>
  <c r="A115" i="41"/>
  <c r="A114" i="41"/>
  <c r="A113" i="41"/>
  <c r="A112" i="41"/>
  <c r="A111" i="41"/>
  <c r="A110" i="41"/>
  <c r="A109" i="41"/>
  <c r="A108" i="41"/>
  <c r="F116" i="31"/>
  <c r="A121" i="31"/>
  <c r="A120" i="31"/>
  <c r="A119" i="31"/>
  <c r="A118" i="31"/>
  <c r="A117" i="31"/>
  <c r="A116" i="31"/>
  <c r="A115" i="31"/>
  <c r="A114" i="31"/>
  <c r="A113" i="31"/>
  <c r="A112" i="31"/>
  <c r="A111" i="31"/>
  <c r="A110" i="31"/>
  <c r="A109" i="31"/>
  <c r="A108" i="31"/>
  <c r="A121" i="35"/>
  <c r="A120" i="35"/>
  <c r="A119" i="35"/>
  <c r="A118" i="35"/>
  <c r="A117" i="35"/>
  <c r="A116" i="35"/>
  <c r="A115" i="35"/>
  <c r="A114" i="35"/>
  <c r="A113" i="35"/>
  <c r="A112" i="35"/>
  <c r="A111" i="35"/>
  <c r="A110" i="35"/>
  <c r="A109" i="35"/>
  <c r="A108" i="35"/>
  <c r="A121" i="34"/>
  <c r="A120" i="34"/>
  <c r="A119" i="34"/>
  <c r="A118" i="34"/>
  <c r="A117" i="34"/>
  <c r="A116" i="34"/>
  <c r="A115" i="34"/>
  <c r="A114" i="34"/>
  <c r="A113" i="34"/>
  <c r="A112" i="34"/>
  <c r="A111" i="34"/>
  <c r="A110" i="34"/>
  <c r="A109" i="34"/>
  <c r="A108" i="34"/>
  <c r="B17" i="51" l="1"/>
  <c r="B17" i="46"/>
  <c r="C10" i="30"/>
  <c r="D10" i="30"/>
  <c r="E10" i="30" s="1"/>
  <c r="A9" i="30"/>
  <c r="A10" i="30"/>
  <c r="C9" i="30" l="1"/>
  <c r="C4" i="30"/>
  <c r="C6" i="30"/>
  <c r="C5" i="30"/>
  <c r="C2" i="30"/>
  <c r="C8" i="30"/>
  <c r="C7" i="30"/>
  <c r="D7" i="30"/>
  <c r="N35" i="39" l="1"/>
  <c r="M35" i="39"/>
  <c r="L35" i="39"/>
  <c r="K35" i="39"/>
  <c r="J35" i="39"/>
  <c r="I35" i="39"/>
  <c r="H35" i="39"/>
  <c r="G35" i="39"/>
  <c r="F35" i="39"/>
  <c r="E35" i="39"/>
  <c r="D35" i="39"/>
  <c r="C35" i="39"/>
  <c r="B35" i="39"/>
  <c r="N33" i="39"/>
  <c r="N36" i="39" s="1"/>
  <c r="N34" i="39" s="1"/>
  <c r="N37" i="39" s="1"/>
  <c r="M33" i="39"/>
  <c r="M36" i="39" s="1"/>
  <c r="M34" i="39" s="1"/>
  <c r="M37" i="39" s="1"/>
  <c r="L33" i="39"/>
  <c r="L36" i="39" s="1"/>
  <c r="L34" i="39" s="1"/>
  <c r="L37" i="39" s="1"/>
  <c r="K33" i="39"/>
  <c r="K36" i="39" s="1"/>
  <c r="K34" i="39" s="1"/>
  <c r="K37" i="39" s="1"/>
  <c r="J33" i="39"/>
  <c r="J36" i="39" s="1"/>
  <c r="J34" i="39" s="1"/>
  <c r="J37" i="39" s="1"/>
  <c r="I33" i="39"/>
  <c r="I36" i="39" s="1"/>
  <c r="I34" i="39" s="1"/>
  <c r="I37" i="39" s="1"/>
  <c r="H33" i="39"/>
  <c r="H36" i="39" s="1"/>
  <c r="H34" i="39" s="1"/>
  <c r="H37" i="39" s="1"/>
  <c r="G33" i="39"/>
  <c r="G36" i="39" s="1"/>
  <c r="G34" i="39" s="1"/>
  <c r="G37" i="39" s="1"/>
  <c r="F33" i="39"/>
  <c r="F36" i="39" s="1"/>
  <c r="F34" i="39" s="1"/>
  <c r="F37" i="39" s="1"/>
  <c r="E33" i="39"/>
  <c r="E36" i="39" s="1"/>
  <c r="E34" i="39" s="1"/>
  <c r="E37" i="39" s="1"/>
  <c r="D33" i="39"/>
  <c r="D36" i="39" s="1"/>
  <c r="D34" i="39" s="1"/>
  <c r="D37" i="39" s="1"/>
  <c r="C33" i="39"/>
  <c r="C36" i="39" s="1"/>
  <c r="C34" i="39" s="1"/>
  <c r="C37" i="39" s="1"/>
  <c r="B33" i="39"/>
  <c r="B36" i="39" s="1"/>
  <c r="B34" i="39" s="1"/>
  <c r="B37" i="39" s="1"/>
  <c r="U35" i="41"/>
  <c r="T35" i="41"/>
  <c r="S35" i="41"/>
  <c r="R35" i="41"/>
  <c r="Q35" i="41"/>
  <c r="P35" i="41"/>
  <c r="O35" i="41"/>
  <c r="N35" i="41"/>
  <c r="M35" i="41"/>
  <c r="L35" i="41"/>
  <c r="K35" i="41"/>
  <c r="J35" i="41"/>
  <c r="I35" i="41"/>
  <c r="H35" i="41"/>
  <c r="G35" i="41"/>
  <c r="F35" i="41"/>
  <c r="E35" i="41"/>
  <c r="D35" i="41"/>
  <c r="C35" i="41"/>
  <c r="B35" i="41"/>
  <c r="U33" i="41"/>
  <c r="U36" i="41" s="1"/>
  <c r="U34" i="41" s="1"/>
  <c r="U37" i="41" s="1"/>
  <c r="T33" i="41"/>
  <c r="T36" i="41" s="1"/>
  <c r="S33" i="41"/>
  <c r="S36" i="41" s="1"/>
  <c r="R33" i="41"/>
  <c r="R36" i="41" s="1"/>
  <c r="Q33" i="41"/>
  <c r="Q36" i="41" s="1"/>
  <c r="P33" i="41"/>
  <c r="P36" i="41" s="1"/>
  <c r="O33" i="41"/>
  <c r="O36" i="41"/>
  <c r="N33" i="41"/>
  <c r="N36" i="41" s="1"/>
  <c r="M33" i="41"/>
  <c r="M36" i="41" s="1"/>
  <c r="L33" i="41"/>
  <c r="L36" i="41" s="1"/>
  <c r="K33" i="41"/>
  <c r="K36" i="41" s="1"/>
  <c r="J33" i="41"/>
  <c r="J36" i="41" s="1"/>
  <c r="I33" i="41"/>
  <c r="I36" i="41" s="1"/>
  <c r="H33" i="41"/>
  <c r="H36" i="41" s="1"/>
  <c r="G33" i="41"/>
  <c r="G36" i="41" s="1"/>
  <c r="F33" i="41"/>
  <c r="F36" i="41" s="1"/>
  <c r="E33" i="41"/>
  <c r="E36" i="41" s="1"/>
  <c r="D33" i="41"/>
  <c r="D36" i="41" s="1"/>
  <c r="C33" i="41"/>
  <c r="C36" i="41" s="1"/>
  <c r="B33" i="41"/>
  <c r="B36" i="41" s="1"/>
  <c r="U33" i="42"/>
  <c r="U36" i="42" s="1"/>
  <c r="U34" i="42" s="1"/>
  <c r="U37" i="42" s="1"/>
  <c r="T33" i="42"/>
  <c r="T36" i="42" s="1"/>
  <c r="T34" i="42" s="1"/>
  <c r="T37" i="42" s="1"/>
  <c r="S33" i="42"/>
  <c r="S36" i="42" s="1"/>
  <c r="S34" i="42" s="1"/>
  <c r="S37" i="42" s="1"/>
  <c r="R33" i="42"/>
  <c r="R36" i="42" s="1"/>
  <c r="R34" i="42" s="1"/>
  <c r="R37" i="42" s="1"/>
  <c r="Q33" i="42"/>
  <c r="Q36" i="42" s="1"/>
  <c r="Q34" i="42" s="1"/>
  <c r="Q37" i="42" s="1"/>
  <c r="P33" i="42"/>
  <c r="P36" i="42" s="1"/>
  <c r="P34" i="42" s="1"/>
  <c r="P37" i="42" s="1"/>
  <c r="O33" i="42"/>
  <c r="O36" i="42" s="1"/>
  <c r="O34" i="42" s="1"/>
  <c r="O37" i="42" s="1"/>
  <c r="N33" i="42"/>
  <c r="N36" i="42" s="1"/>
  <c r="N34" i="42" s="1"/>
  <c r="N37" i="42" s="1"/>
  <c r="M33" i="42"/>
  <c r="M36" i="42" s="1"/>
  <c r="M34" i="42" s="1"/>
  <c r="M37" i="42" s="1"/>
  <c r="L33" i="42"/>
  <c r="L36" i="42" s="1"/>
  <c r="L34" i="42" s="1"/>
  <c r="L37" i="42" s="1"/>
  <c r="K33" i="42"/>
  <c r="K36" i="42" s="1"/>
  <c r="K34" i="42" s="1"/>
  <c r="K37" i="42" s="1"/>
  <c r="J33" i="42"/>
  <c r="J36" i="42" s="1"/>
  <c r="J34" i="42" s="1"/>
  <c r="J37" i="42" s="1"/>
  <c r="I33" i="42"/>
  <c r="I36" i="42" s="1"/>
  <c r="I34" i="42" s="1"/>
  <c r="I37" i="42" s="1"/>
  <c r="H33" i="42"/>
  <c r="H36" i="42" s="1"/>
  <c r="H34" i="42" s="1"/>
  <c r="H37" i="42" s="1"/>
  <c r="G33" i="42"/>
  <c r="G36" i="42" s="1"/>
  <c r="G34" i="42" s="1"/>
  <c r="G37" i="42" s="1"/>
  <c r="F33" i="42"/>
  <c r="F36" i="42" s="1"/>
  <c r="F34" i="42" s="1"/>
  <c r="F37" i="42" s="1"/>
  <c r="E33" i="42"/>
  <c r="E36" i="42" s="1"/>
  <c r="E34" i="42" s="1"/>
  <c r="E37" i="42" s="1"/>
  <c r="D33" i="42"/>
  <c r="D36" i="42" s="1"/>
  <c r="D34" i="42" s="1"/>
  <c r="D37" i="42" s="1"/>
  <c r="C33" i="42"/>
  <c r="C36" i="42" s="1"/>
  <c r="C34" i="42" s="1"/>
  <c r="C37" i="42" s="1"/>
  <c r="B33" i="42"/>
  <c r="B36" i="42" s="1"/>
  <c r="B34" i="42" s="1"/>
  <c r="B37" i="42" s="1"/>
  <c r="U35" i="42"/>
  <c r="T35" i="42"/>
  <c r="S35" i="42"/>
  <c r="R35" i="42"/>
  <c r="Q35" i="42"/>
  <c r="P35" i="42"/>
  <c r="O35" i="42"/>
  <c r="N35" i="42"/>
  <c r="M35" i="42"/>
  <c r="L35" i="42"/>
  <c r="K35" i="42"/>
  <c r="J35" i="42"/>
  <c r="I35" i="42"/>
  <c r="H35" i="42"/>
  <c r="G35" i="42"/>
  <c r="F35" i="42"/>
  <c r="E35" i="42"/>
  <c r="D35" i="42"/>
  <c r="C35" i="42"/>
  <c r="B35" i="42"/>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C35" i="35"/>
  <c r="B35" i="35"/>
  <c r="AQ33" i="35"/>
  <c r="AQ36" i="35"/>
  <c r="AP33" i="35"/>
  <c r="AP36" i="35" s="1"/>
  <c r="AO33" i="35"/>
  <c r="AO36" i="35" s="1"/>
  <c r="AN33" i="35"/>
  <c r="AN36" i="35" s="1"/>
  <c r="AM33" i="35"/>
  <c r="AM36" i="35" s="1"/>
  <c r="AL33" i="35"/>
  <c r="AL36" i="35" s="1"/>
  <c r="AK33" i="35"/>
  <c r="AK36" i="35" s="1"/>
  <c r="AJ33" i="35"/>
  <c r="AJ36" i="35" s="1"/>
  <c r="AI33" i="35"/>
  <c r="AI36" i="35" s="1"/>
  <c r="AH33" i="35"/>
  <c r="AH36" i="35" s="1"/>
  <c r="AG33" i="35"/>
  <c r="AG36" i="35" s="1"/>
  <c r="AF33" i="35"/>
  <c r="AF36" i="35" s="1"/>
  <c r="AE33" i="35"/>
  <c r="AE36" i="35" s="1"/>
  <c r="AD33" i="35"/>
  <c r="AD36" i="35" s="1"/>
  <c r="AC33" i="35"/>
  <c r="AC36" i="35" s="1"/>
  <c r="AB33" i="35"/>
  <c r="AB36" i="35" s="1"/>
  <c r="AA33" i="35"/>
  <c r="AA36" i="35" s="1"/>
  <c r="AA34" i="35" s="1"/>
  <c r="AA37" i="35" s="1"/>
  <c r="Z33" i="35"/>
  <c r="Z36" i="35" s="1"/>
  <c r="Y33" i="35"/>
  <c r="Y36" i="35" s="1"/>
  <c r="X33" i="35"/>
  <c r="X36" i="35" s="1"/>
  <c r="X34" i="35" s="1"/>
  <c r="X37" i="35" s="1"/>
  <c r="W33" i="35"/>
  <c r="W36" i="35" s="1"/>
  <c r="V33" i="35"/>
  <c r="V36" i="35" s="1"/>
  <c r="U33" i="35"/>
  <c r="U36" i="35" s="1"/>
  <c r="T33" i="35"/>
  <c r="T36" i="35" s="1"/>
  <c r="S33" i="35"/>
  <c r="S36" i="35" s="1"/>
  <c r="R33" i="35"/>
  <c r="R36" i="35" s="1"/>
  <c r="Q33" i="35"/>
  <c r="Q36" i="35" s="1"/>
  <c r="P33" i="35"/>
  <c r="P36" i="35" s="1"/>
  <c r="P34" i="35" s="1"/>
  <c r="P37" i="35" s="1"/>
  <c r="O33" i="35"/>
  <c r="O36" i="35" s="1"/>
  <c r="N33" i="35"/>
  <c r="N36" i="35" s="1"/>
  <c r="M33" i="35"/>
  <c r="M36" i="35" s="1"/>
  <c r="L33" i="35"/>
  <c r="L36" i="35" s="1"/>
  <c r="K33" i="35"/>
  <c r="K36" i="35" s="1"/>
  <c r="J33" i="35"/>
  <c r="J36" i="35" s="1"/>
  <c r="J34" i="35" s="1"/>
  <c r="J37" i="35" s="1"/>
  <c r="I33" i="35"/>
  <c r="I36" i="35" s="1"/>
  <c r="H33" i="35"/>
  <c r="H36" i="35" s="1"/>
  <c r="G33" i="35"/>
  <c r="G36" i="35" s="1"/>
  <c r="F33" i="35"/>
  <c r="F36" i="35" s="1"/>
  <c r="E33" i="35"/>
  <c r="E36" i="35" s="1"/>
  <c r="D33" i="35"/>
  <c r="D36" i="35" s="1"/>
  <c r="C33" i="35"/>
  <c r="C36" i="35" s="1"/>
  <c r="B33" i="35"/>
  <c r="B36" i="35" s="1"/>
  <c r="H33" i="34"/>
  <c r="H36" i="34" s="1"/>
  <c r="I33" i="34"/>
  <c r="J33" i="34"/>
  <c r="J36" i="34" s="1"/>
  <c r="K33" i="34"/>
  <c r="K36" i="34" s="1"/>
  <c r="L33" i="34"/>
  <c r="L36" i="34" s="1"/>
  <c r="L34" i="34" s="1"/>
  <c r="L37" i="34" s="1"/>
  <c r="M33" i="34"/>
  <c r="M36" i="34" s="1"/>
  <c r="M34" i="34" s="1"/>
  <c r="M37" i="34" s="1"/>
  <c r="N33" i="34"/>
  <c r="N36" i="34" s="1"/>
  <c r="N34" i="34" s="1"/>
  <c r="N37" i="34" s="1"/>
  <c r="O33" i="34"/>
  <c r="O36" i="34" s="1"/>
  <c r="P33" i="34"/>
  <c r="P36" i="34" s="1"/>
  <c r="Q33" i="34"/>
  <c r="Q36" i="34" s="1"/>
  <c r="R33" i="34"/>
  <c r="R36" i="34" s="1"/>
  <c r="S33" i="34"/>
  <c r="S36" i="34" s="1"/>
  <c r="T33" i="34"/>
  <c r="T36" i="34" s="1"/>
  <c r="U33" i="34"/>
  <c r="U36" i="34" s="1"/>
  <c r="V33" i="34"/>
  <c r="W33" i="34"/>
  <c r="W36" i="34" s="1"/>
  <c r="X33" i="34"/>
  <c r="X36" i="34" s="1"/>
  <c r="Y33" i="34"/>
  <c r="Z33" i="34"/>
  <c r="AA33" i="34"/>
  <c r="AA36" i="34"/>
  <c r="AB33" i="34"/>
  <c r="AB36" i="34" s="1"/>
  <c r="AC33" i="34"/>
  <c r="AC36" i="34" s="1"/>
  <c r="AD33" i="34"/>
  <c r="AE33" i="34"/>
  <c r="AE36" i="34" s="1"/>
  <c r="AF33" i="34"/>
  <c r="AG33" i="34"/>
  <c r="AG36" i="34" s="1"/>
  <c r="AH33" i="34"/>
  <c r="AI33" i="34"/>
  <c r="AI36" i="34" s="1"/>
  <c r="AJ33" i="34"/>
  <c r="AK33" i="34"/>
  <c r="AK36" i="34" s="1"/>
  <c r="AL33" i="34"/>
  <c r="AL36" i="34" s="1"/>
  <c r="AM33" i="34"/>
  <c r="AM36" i="34" s="1"/>
  <c r="AN33" i="34"/>
  <c r="AN36" i="34" s="1"/>
  <c r="AO33" i="34"/>
  <c r="AO36" i="34" s="1"/>
  <c r="AO34" i="34" s="1"/>
  <c r="AO37" i="34" s="1"/>
  <c r="AP33" i="34"/>
  <c r="AP36" i="34" s="1"/>
  <c r="AQ33" i="34"/>
  <c r="AQ36" i="34" s="1"/>
  <c r="AQ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I36" i="34"/>
  <c r="V36" i="34"/>
  <c r="Y36" i="34"/>
  <c r="Z36" i="34"/>
  <c r="Z34" i="34" s="1"/>
  <c r="Z37" i="34" s="1"/>
  <c r="AD36" i="34"/>
  <c r="AF36" i="34"/>
  <c r="AH36" i="34"/>
  <c r="AJ36" i="34"/>
  <c r="G35" i="34"/>
  <c r="F35" i="34"/>
  <c r="E35" i="34"/>
  <c r="D35" i="34"/>
  <c r="C35" i="34"/>
  <c r="B35" i="34"/>
  <c r="G33" i="34"/>
  <c r="G36" i="34" s="1"/>
  <c r="F33" i="34"/>
  <c r="F36" i="34" s="1"/>
  <c r="E33" i="34"/>
  <c r="E36" i="34" s="1"/>
  <c r="D33" i="34"/>
  <c r="D36" i="34" s="1"/>
  <c r="C33" i="34"/>
  <c r="C36" i="34" s="1"/>
  <c r="B33" i="34"/>
  <c r="B36" i="34" s="1"/>
  <c r="C35" i="31"/>
  <c r="D35" i="31"/>
  <c r="E35"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C33" i="31"/>
  <c r="C36" i="31" s="1"/>
  <c r="C34" i="31" s="1"/>
  <c r="C37" i="31" s="1"/>
  <c r="D33" i="31"/>
  <c r="D36" i="31" s="1"/>
  <c r="D34" i="31" s="1"/>
  <c r="D37" i="31" s="1"/>
  <c r="E33" i="31"/>
  <c r="E36" i="31" s="1"/>
  <c r="E34" i="31" s="1"/>
  <c r="E37" i="31" s="1"/>
  <c r="F33" i="31"/>
  <c r="F36" i="31"/>
  <c r="F34" i="31" s="1"/>
  <c r="F37" i="31" s="1"/>
  <c r="G33" i="31"/>
  <c r="G36" i="31" s="1"/>
  <c r="G34" i="31" s="1"/>
  <c r="G37" i="31" s="1"/>
  <c r="H33" i="31"/>
  <c r="H36" i="31" s="1"/>
  <c r="H34" i="31" s="1"/>
  <c r="H37" i="31" s="1"/>
  <c r="I33" i="31"/>
  <c r="I36" i="31" s="1"/>
  <c r="I34" i="31" s="1"/>
  <c r="I37" i="31" s="1"/>
  <c r="J33" i="31"/>
  <c r="J36" i="31" s="1"/>
  <c r="J34" i="31" s="1"/>
  <c r="J37" i="31" s="1"/>
  <c r="K33" i="31"/>
  <c r="K36" i="31" s="1"/>
  <c r="K34" i="31" s="1"/>
  <c r="K37" i="31" s="1"/>
  <c r="L33" i="31"/>
  <c r="L36" i="31" s="1"/>
  <c r="L34" i="31" s="1"/>
  <c r="L37" i="31" s="1"/>
  <c r="M33" i="31"/>
  <c r="M36" i="31" s="1"/>
  <c r="M34" i="31" s="1"/>
  <c r="M37" i="31" s="1"/>
  <c r="N33" i="31"/>
  <c r="N36" i="31" s="1"/>
  <c r="N34" i="31" s="1"/>
  <c r="N37" i="31" s="1"/>
  <c r="O33" i="31"/>
  <c r="O36" i="31" s="1"/>
  <c r="O34" i="31" s="1"/>
  <c r="O37" i="31" s="1"/>
  <c r="P33" i="31"/>
  <c r="P36" i="31" s="1"/>
  <c r="P34" i="31" s="1"/>
  <c r="P37" i="31" s="1"/>
  <c r="Q33" i="31"/>
  <c r="Q36" i="31" s="1"/>
  <c r="R33" i="31"/>
  <c r="R36" i="31" s="1"/>
  <c r="R34" i="31" s="1"/>
  <c r="R37" i="31" s="1"/>
  <c r="S33" i="31"/>
  <c r="S36" i="31" s="1"/>
  <c r="S34" i="31" s="1"/>
  <c r="S37" i="31" s="1"/>
  <c r="T33" i="31"/>
  <c r="T36" i="31" s="1"/>
  <c r="T34" i="31" s="1"/>
  <c r="T37" i="31" s="1"/>
  <c r="U33" i="31"/>
  <c r="U36" i="31"/>
  <c r="U34" i="31" s="1"/>
  <c r="U37" i="31" s="1"/>
  <c r="V33" i="31"/>
  <c r="V36" i="31" s="1"/>
  <c r="V34" i="31" s="1"/>
  <c r="V37" i="31" s="1"/>
  <c r="W33" i="31"/>
  <c r="W36" i="31" s="1"/>
  <c r="W34" i="31" s="1"/>
  <c r="W37" i="31" s="1"/>
  <c r="X33" i="31"/>
  <c r="X36" i="31" s="1"/>
  <c r="X34" i="31" s="1"/>
  <c r="X37" i="31" s="1"/>
  <c r="Y33" i="31"/>
  <c r="Y36" i="31" s="1"/>
  <c r="Z33" i="31"/>
  <c r="Z36" i="31" s="1"/>
  <c r="Z34" i="31" s="1"/>
  <c r="Z37" i="31" s="1"/>
  <c r="AA33" i="31"/>
  <c r="AA36" i="31" s="1"/>
  <c r="AA34" i="31" s="1"/>
  <c r="AA37" i="31" s="1"/>
  <c r="AB33" i="31"/>
  <c r="AB36" i="31" s="1"/>
  <c r="AB34" i="31" s="1"/>
  <c r="AB37" i="31" s="1"/>
  <c r="AC36" i="31"/>
  <c r="AC34" i="31" s="1"/>
  <c r="AC37" i="31" s="1"/>
  <c r="AD36" i="31"/>
  <c r="AD34" i="31" s="1"/>
  <c r="AD37" i="31" s="1"/>
  <c r="AE36" i="31"/>
  <c r="AE34" i="31" s="1"/>
  <c r="AE37" i="31" s="1"/>
  <c r="AF36" i="31"/>
  <c r="AF34" i="31" s="1"/>
  <c r="AF37" i="31" s="1"/>
  <c r="AG36" i="31"/>
  <c r="AG34" i="31" s="1"/>
  <c r="AG37" i="31" s="1"/>
  <c r="AH36" i="31"/>
  <c r="AH34" i="31" s="1"/>
  <c r="AH37" i="31" s="1"/>
  <c r="AI36" i="31"/>
  <c r="AI34" i="31" s="1"/>
  <c r="AI37" i="31" s="1"/>
  <c r="AJ36" i="31"/>
  <c r="AJ34" i="31" s="1"/>
  <c r="AJ37" i="31" s="1"/>
  <c r="AK36" i="31"/>
  <c r="AK34" i="31" s="1"/>
  <c r="AK37" i="31" s="1"/>
  <c r="AL36" i="31"/>
  <c r="AL34" i="31" s="1"/>
  <c r="AL37" i="31" s="1"/>
  <c r="AM36" i="31"/>
  <c r="AM34" i="31" s="1"/>
  <c r="AM37" i="31" s="1"/>
  <c r="AN36" i="31"/>
  <c r="AN34" i="31" s="1"/>
  <c r="AN37" i="31" s="1"/>
  <c r="AO36" i="31"/>
  <c r="AO34" i="31" s="1"/>
  <c r="AO37" i="31" s="1"/>
  <c r="AP36" i="31"/>
  <c r="AP34" i="31" s="1"/>
  <c r="AP37" i="31" s="1"/>
  <c r="B33" i="31"/>
  <c r="B36" i="31" s="1"/>
  <c r="B34" i="31" s="1"/>
  <c r="B37" i="31" s="1"/>
  <c r="B35" i="31"/>
  <c r="AQ36" i="31"/>
  <c r="AQ34" i="31" s="1"/>
  <c r="AQ37" i="31" s="1"/>
  <c r="D12" i="30"/>
  <c r="E12" i="30" s="1"/>
  <c r="A12" i="30"/>
  <c r="N57" i="39"/>
  <c r="M57" i="39"/>
  <c r="L57" i="39"/>
  <c r="K57" i="39"/>
  <c r="J57" i="39"/>
  <c r="I57" i="39"/>
  <c r="H57" i="39"/>
  <c r="G57" i="39"/>
  <c r="F57" i="39"/>
  <c r="E57" i="39"/>
  <c r="D57" i="39"/>
  <c r="C57" i="39"/>
  <c r="B57" i="39"/>
  <c r="N56" i="39"/>
  <c r="M56" i="39"/>
  <c r="L56" i="39"/>
  <c r="K56" i="39"/>
  <c r="J56" i="39"/>
  <c r="I56" i="39"/>
  <c r="H56" i="39"/>
  <c r="G56" i="39"/>
  <c r="F56" i="39"/>
  <c r="E56" i="39"/>
  <c r="D56" i="39"/>
  <c r="C56" i="39"/>
  <c r="B56" i="39"/>
  <c r="N54" i="39"/>
  <c r="M54" i="39"/>
  <c r="L54" i="39"/>
  <c r="K54" i="39"/>
  <c r="J54" i="39"/>
  <c r="I54" i="39"/>
  <c r="H54" i="39"/>
  <c r="G54" i="39"/>
  <c r="F54" i="39"/>
  <c r="E54" i="39"/>
  <c r="D54" i="39"/>
  <c r="C54" i="39"/>
  <c r="B54" i="39"/>
  <c r="AQ56" i="31"/>
  <c r="AP56" i="31"/>
  <c r="AO56" i="31"/>
  <c r="AN56" i="31"/>
  <c r="AM56" i="31"/>
  <c r="AL56" i="31"/>
  <c r="AK56" i="31"/>
  <c r="AJ56" i="31"/>
  <c r="AI56" i="31"/>
  <c r="AH56" i="31"/>
  <c r="AG56"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C65" i="35"/>
  <c r="B65"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D64" i="35"/>
  <c r="C64" i="35"/>
  <c r="B64"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C63" i="35"/>
  <c r="B63"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C62" i="35"/>
  <c r="B62"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C61" i="35"/>
  <c r="B61"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C60" i="35"/>
  <c r="B60"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E59" i="35"/>
  <c r="D59" i="35"/>
  <c r="C59" i="35"/>
  <c r="B59"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B58"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C57" i="35"/>
  <c r="B57"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R56" i="35"/>
  <c r="Q56" i="35"/>
  <c r="P56" i="35"/>
  <c r="O56" i="35"/>
  <c r="N56" i="35"/>
  <c r="M56" i="35"/>
  <c r="L56" i="35"/>
  <c r="K56" i="35"/>
  <c r="J56" i="35"/>
  <c r="I56" i="35"/>
  <c r="H56" i="35"/>
  <c r="G56" i="35"/>
  <c r="F56" i="35"/>
  <c r="E56" i="35"/>
  <c r="D56" i="35"/>
  <c r="C56" i="35"/>
  <c r="B56"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E55" i="35"/>
  <c r="D55" i="35"/>
  <c r="C55" i="35"/>
  <c r="B55"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D54" i="35"/>
  <c r="C54" i="35"/>
  <c r="B54"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C53" i="35"/>
  <c r="B53" i="35"/>
  <c r="AC60" i="34"/>
  <c r="G60" i="34"/>
  <c r="F60" i="34"/>
  <c r="E60" i="34"/>
  <c r="D60" i="34"/>
  <c r="C60" i="34"/>
  <c r="B60"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P65" i="34"/>
  <c r="O65" i="34"/>
  <c r="N65" i="34"/>
  <c r="M65" i="34"/>
  <c r="L65" i="34"/>
  <c r="K65" i="34"/>
  <c r="J65" i="34"/>
  <c r="I65" i="34"/>
  <c r="H65" i="34"/>
  <c r="G65" i="34"/>
  <c r="F65" i="34"/>
  <c r="E65" i="34"/>
  <c r="D65" i="34"/>
  <c r="C65" i="34"/>
  <c r="B65" i="34"/>
  <c r="AQ64" i="34"/>
  <c r="AP64" i="34"/>
  <c r="AO64" i="34"/>
  <c r="AN64" i="34"/>
  <c r="AM64" i="34"/>
  <c r="AL64" i="34"/>
  <c r="AK64" i="34"/>
  <c r="AJ64" i="34"/>
  <c r="AI64" i="34"/>
  <c r="AH64" i="34"/>
  <c r="AG64" i="34"/>
  <c r="AF64" i="34"/>
  <c r="AE64" i="34"/>
  <c r="AD64" i="34"/>
  <c r="AC64" i="34"/>
  <c r="AB64" i="34"/>
  <c r="AA64" i="34"/>
  <c r="Z64" i="34"/>
  <c r="Y64" i="34"/>
  <c r="X64" i="34"/>
  <c r="W64" i="34"/>
  <c r="V64" i="34"/>
  <c r="U64" i="34"/>
  <c r="T64" i="34"/>
  <c r="S64" i="34"/>
  <c r="R64" i="34"/>
  <c r="Q64" i="34"/>
  <c r="P64" i="34"/>
  <c r="O64" i="34"/>
  <c r="N64" i="34"/>
  <c r="M64" i="34"/>
  <c r="L64" i="34"/>
  <c r="K64" i="34"/>
  <c r="J64" i="34"/>
  <c r="I64" i="34"/>
  <c r="H64" i="34"/>
  <c r="G64" i="34"/>
  <c r="F64" i="34"/>
  <c r="E64" i="34"/>
  <c r="D64" i="34"/>
  <c r="C64" i="34"/>
  <c r="B64"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P63" i="34"/>
  <c r="O63" i="34"/>
  <c r="N63" i="34"/>
  <c r="M63" i="34"/>
  <c r="L63" i="34"/>
  <c r="K63" i="34"/>
  <c r="J63" i="34"/>
  <c r="I63" i="34"/>
  <c r="H63" i="34"/>
  <c r="G63" i="34"/>
  <c r="F63" i="34"/>
  <c r="E63" i="34"/>
  <c r="D63" i="34"/>
  <c r="C63" i="34"/>
  <c r="B63" i="34"/>
  <c r="AQ62" i="34"/>
  <c r="AP62" i="34"/>
  <c r="AO62" i="34"/>
  <c r="AN62" i="34"/>
  <c r="AM62" i="34"/>
  <c r="AL62" i="34"/>
  <c r="AK62" i="34"/>
  <c r="AJ62" i="34"/>
  <c r="AI62" i="34"/>
  <c r="AH62" i="34"/>
  <c r="AG62" i="34"/>
  <c r="AF62" i="34"/>
  <c r="AE62" i="34"/>
  <c r="AD62" i="34"/>
  <c r="AC62" i="34"/>
  <c r="AB62" i="34"/>
  <c r="AA62" i="34"/>
  <c r="Z62" i="34"/>
  <c r="Y62" i="34"/>
  <c r="X62" i="34"/>
  <c r="W62" i="34"/>
  <c r="V62" i="34"/>
  <c r="U62" i="34"/>
  <c r="T62" i="34"/>
  <c r="S62" i="34"/>
  <c r="R62" i="34"/>
  <c r="Q62" i="34"/>
  <c r="P62" i="34"/>
  <c r="O62" i="34"/>
  <c r="N62" i="34"/>
  <c r="M62" i="34"/>
  <c r="L62" i="34"/>
  <c r="K62" i="34"/>
  <c r="J62" i="34"/>
  <c r="I62" i="34"/>
  <c r="H62" i="34"/>
  <c r="G62" i="34"/>
  <c r="F62" i="34"/>
  <c r="E62" i="34"/>
  <c r="D62" i="34"/>
  <c r="C62" i="34"/>
  <c r="B62"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P61" i="34"/>
  <c r="O61" i="34"/>
  <c r="N61" i="34"/>
  <c r="M61" i="34"/>
  <c r="L61" i="34"/>
  <c r="K61" i="34"/>
  <c r="J61" i="34"/>
  <c r="I61" i="34"/>
  <c r="H61" i="34"/>
  <c r="G61" i="34"/>
  <c r="F61" i="34"/>
  <c r="E61" i="34"/>
  <c r="D61" i="34"/>
  <c r="C61" i="34"/>
  <c r="B61" i="34"/>
  <c r="AQ60" i="34"/>
  <c r="AP60" i="34"/>
  <c r="AO60" i="34"/>
  <c r="AN60" i="34"/>
  <c r="AM60" i="34"/>
  <c r="AL60" i="34"/>
  <c r="AK60" i="34"/>
  <c r="AJ60" i="34"/>
  <c r="AI60" i="34"/>
  <c r="AH60" i="34"/>
  <c r="AG60" i="34"/>
  <c r="AF60" i="34"/>
  <c r="AE60" i="34"/>
  <c r="AD60" i="34"/>
  <c r="AB60" i="34"/>
  <c r="AA60" i="34"/>
  <c r="Z60" i="34"/>
  <c r="Y60" i="34"/>
  <c r="X60" i="34"/>
  <c r="W60" i="34"/>
  <c r="V60" i="34"/>
  <c r="U60" i="34"/>
  <c r="T60" i="34"/>
  <c r="S60" i="34"/>
  <c r="R60" i="34"/>
  <c r="Q60" i="34"/>
  <c r="P60" i="34"/>
  <c r="O60" i="34"/>
  <c r="N60" i="34"/>
  <c r="M60" i="34"/>
  <c r="L60" i="34"/>
  <c r="K60" i="34"/>
  <c r="J60" i="34"/>
  <c r="I60" i="34"/>
  <c r="H60"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B59" i="34"/>
  <c r="AQ58" i="34"/>
  <c r="AP58" i="34"/>
  <c r="AO58" i="34"/>
  <c r="AN58"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B58"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P57" i="34"/>
  <c r="O57" i="34"/>
  <c r="N57" i="34"/>
  <c r="M57" i="34"/>
  <c r="L57" i="34"/>
  <c r="K57" i="34"/>
  <c r="J57" i="34"/>
  <c r="I57" i="34"/>
  <c r="H57" i="34"/>
  <c r="G57" i="34"/>
  <c r="F57" i="34"/>
  <c r="E57" i="34"/>
  <c r="D57" i="34"/>
  <c r="C57" i="34"/>
  <c r="B57"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S56" i="34"/>
  <c r="R56" i="34"/>
  <c r="Q56" i="34"/>
  <c r="P56" i="34"/>
  <c r="O56" i="34"/>
  <c r="N56" i="34"/>
  <c r="M56" i="34"/>
  <c r="L56" i="34"/>
  <c r="K56" i="34"/>
  <c r="J56" i="34"/>
  <c r="I56" i="34"/>
  <c r="H56" i="34"/>
  <c r="G56" i="34"/>
  <c r="F56" i="34"/>
  <c r="E56" i="34"/>
  <c r="D56" i="34"/>
  <c r="C56" i="34"/>
  <c r="B56" i="34"/>
  <c r="B55" i="34"/>
  <c r="AQ54" i="34"/>
  <c r="AP54" i="34"/>
  <c r="AO54" i="34"/>
  <c r="AN54" i="34"/>
  <c r="AM54" i="34"/>
  <c r="AL54" i="34"/>
  <c r="AK54" i="34"/>
  <c r="AJ54" i="34"/>
  <c r="AI54" i="34"/>
  <c r="AH54" i="34"/>
  <c r="AG54" i="34"/>
  <c r="AF54" i="34"/>
  <c r="AE54" i="34"/>
  <c r="AD54" i="34"/>
  <c r="AC54" i="34"/>
  <c r="AB54" i="34"/>
  <c r="AA54" i="34"/>
  <c r="Z54" i="34"/>
  <c r="Y54" i="34"/>
  <c r="X54" i="34"/>
  <c r="W54" i="34"/>
  <c r="V54" i="34"/>
  <c r="U54" i="34"/>
  <c r="T54" i="34"/>
  <c r="S54" i="34"/>
  <c r="R54" i="34"/>
  <c r="Q54" i="34"/>
  <c r="P54" i="34"/>
  <c r="O54" i="34"/>
  <c r="N54" i="34"/>
  <c r="M54" i="34"/>
  <c r="L54" i="34"/>
  <c r="K54" i="34"/>
  <c r="J54" i="34"/>
  <c r="I54" i="34"/>
  <c r="H54" i="34"/>
  <c r="G54" i="34"/>
  <c r="F54" i="34"/>
  <c r="E54" i="34"/>
  <c r="D54" i="34"/>
  <c r="C54" i="34"/>
  <c r="B54" i="34"/>
  <c r="U65" i="42"/>
  <c r="N65" i="42"/>
  <c r="M65" i="42"/>
  <c r="L65" i="42"/>
  <c r="K65" i="42"/>
  <c r="J65" i="42"/>
  <c r="I65" i="42"/>
  <c r="H65" i="42"/>
  <c r="G65" i="42"/>
  <c r="F65" i="42"/>
  <c r="E65" i="42"/>
  <c r="D65" i="42"/>
  <c r="C65" i="42"/>
  <c r="B65" i="42"/>
  <c r="U64" i="42"/>
  <c r="N64" i="42"/>
  <c r="M64" i="42"/>
  <c r="L64" i="42"/>
  <c r="K64" i="42"/>
  <c r="J64" i="42"/>
  <c r="I64" i="42"/>
  <c r="H64" i="42"/>
  <c r="G64" i="42"/>
  <c r="F64" i="42"/>
  <c r="E64" i="42"/>
  <c r="D64" i="42"/>
  <c r="C64" i="42"/>
  <c r="B64" i="42"/>
  <c r="U63" i="42"/>
  <c r="N63" i="42"/>
  <c r="M63" i="42"/>
  <c r="L63" i="42"/>
  <c r="K63" i="42"/>
  <c r="J63" i="42"/>
  <c r="I63" i="42"/>
  <c r="H63" i="42"/>
  <c r="G63" i="42"/>
  <c r="F63" i="42"/>
  <c r="E63" i="42"/>
  <c r="D63" i="42"/>
  <c r="C63" i="42"/>
  <c r="B63" i="42"/>
  <c r="U62" i="42"/>
  <c r="N62" i="42"/>
  <c r="M62" i="42"/>
  <c r="L62" i="42"/>
  <c r="K62" i="42"/>
  <c r="J62" i="42"/>
  <c r="I62" i="42"/>
  <c r="H62" i="42"/>
  <c r="G62" i="42"/>
  <c r="F62" i="42"/>
  <c r="E62" i="42"/>
  <c r="D62" i="42"/>
  <c r="C62" i="42"/>
  <c r="B62" i="42"/>
  <c r="U61" i="42"/>
  <c r="N61" i="42"/>
  <c r="M61" i="42"/>
  <c r="L61" i="42"/>
  <c r="K61" i="42"/>
  <c r="J61" i="42"/>
  <c r="I61" i="42"/>
  <c r="H61" i="42"/>
  <c r="G61" i="42"/>
  <c r="F61" i="42"/>
  <c r="E61" i="42"/>
  <c r="D61" i="42"/>
  <c r="C61" i="42"/>
  <c r="B61" i="42"/>
  <c r="U60" i="42"/>
  <c r="N60" i="42"/>
  <c r="M60" i="42"/>
  <c r="L60" i="42"/>
  <c r="K60" i="42"/>
  <c r="J60" i="42"/>
  <c r="I60" i="42"/>
  <c r="H60" i="42"/>
  <c r="G60" i="42"/>
  <c r="F60" i="42"/>
  <c r="E60" i="42"/>
  <c r="D60" i="42"/>
  <c r="C60" i="42"/>
  <c r="B60" i="42"/>
  <c r="U59" i="42"/>
  <c r="N59" i="42"/>
  <c r="M59" i="42"/>
  <c r="L59" i="42"/>
  <c r="K59" i="42"/>
  <c r="J59" i="42"/>
  <c r="I59" i="42"/>
  <c r="H59" i="42"/>
  <c r="G59" i="42"/>
  <c r="F59" i="42"/>
  <c r="E59" i="42"/>
  <c r="D59" i="42"/>
  <c r="C59" i="42"/>
  <c r="B59" i="42"/>
  <c r="U58" i="42"/>
  <c r="N58" i="42"/>
  <c r="M58" i="42"/>
  <c r="L58" i="42"/>
  <c r="K58" i="42"/>
  <c r="J58" i="42"/>
  <c r="I58" i="42"/>
  <c r="H58" i="42"/>
  <c r="G58" i="42"/>
  <c r="F58" i="42"/>
  <c r="E58" i="42"/>
  <c r="D58" i="42"/>
  <c r="C58" i="42"/>
  <c r="B58" i="42"/>
  <c r="U57" i="42"/>
  <c r="N57" i="42"/>
  <c r="M57" i="42"/>
  <c r="L57" i="42"/>
  <c r="K57" i="42"/>
  <c r="J57" i="42"/>
  <c r="I57" i="42"/>
  <c r="H57" i="42"/>
  <c r="G57" i="42"/>
  <c r="F57" i="42"/>
  <c r="E57" i="42"/>
  <c r="D57" i="42"/>
  <c r="C57" i="42"/>
  <c r="B57" i="42"/>
  <c r="U56" i="42"/>
  <c r="N56" i="42"/>
  <c r="M56" i="42"/>
  <c r="L56" i="42"/>
  <c r="K56" i="42"/>
  <c r="J56" i="42"/>
  <c r="I56" i="42"/>
  <c r="H56" i="42"/>
  <c r="G56" i="42"/>
  <c r="F56" i="42"/>
  <c r="E56" i="42"/>
  <c r="D56" i="42"/>
  <c r="C56" i="42"/>
  <c r="B56" i="42"/>
  <c r="U55" i="42"/>
  <c r="T55" i="42"/>
  <c r="S55" i="42"/>
  <c r="R55" i="42"/>
  <c r="Q55" i="42"/>
  <c r="P55" i="42"/>
  <c r="O55" i="42"/>
  <c r="N55" i="42"/>
  <c r="M55" i="42"/>
  <c r="L55" i="42"/>
  <c r="K55" i="42"/>
  <c r="J55" i="42"/>
  <c r="I55" i="42"/>
  <c r="H55" i="42"/>
  <c r="G55" i="42"/>
  <c r="F55" i="42"/>
  <c r="E55" i="42"/>
  <c r="D55" i="42"/>
  <c r="C55" i="42"/>
  <c r="B55" i="42"/>
  <c r="U54" i="42"/>
  <c r="N54" i="42"/>
  <c r="M54" i="42"/>
  <c r="L54" i="42"/>
  <c r="K54" i="42"/>
  <c r="J54" i="42"/>
  <c r="I54" i="42"/>
  <c r="H54" i="42"/>
  <c r="G54" i="42"/>
  <c r="F54" i="42"/>
  <c r="E54" i="42"/>
  <c r="D54" i="42"/>
  <c r="C54" i="42"/>
  <c r="B54" i="42"/>
  <c r="U53" i="42"/>
  <c r="T53" i="42"/>
  <c r="S53" i="42"/>
  <c r="R53" i="42"/>
  <c r="Q53" i="42"/>
  <c r="P53" i="42"/>
  <c r="O53" i="42"/>
  <c r="N53" i="42"/>
  <c r="M53" i="42"/>
  <c r="L53" i="42"/>
  <c r="K53" i="42"/>
  <c r="J53" i="42"/>
  <c r="I53" i="42"/>
  <c r="H53" i="42"/>
  <c r="G53" i="42"/>
  <c r="F53" i="42"/>
  <c r="E53" i="42"/>
  <c r="D53" i="42"/>
  <c r="C53" i="42"/>
  <c r="B53" i="42"/>
  <c r="N63" i="41"/>
  <c r="M63" i="41"/>
  <c r="C63" i="41"/>
  <c r="B63" i="41"/>
  <c r="N60" i="41"/>
  <c r="M60" i="41"/>
  <c r="C60" i="41"/>
  <c r="U57" i="41"/>
  <c r="N57" i="41"/>
  <c r="M57" i="41"/>
  <c r="L57" i="41"/>
  <c r="K57" i="41"/>
  <c r="J57" i="41"/>
  <c r="I57" i="41"/>
  <c r="H57" i="41"/>
  <c r="G57" i="41"/>
  <c r="F57" i="41"/>
  <c r="E57" i="41"/>
  <c r="D57" i="41"/>
  <c r="C57" i="41"/>
  <c r="U58" i="41"/>
  <c r="N58" i="41"/>
  <c r="M58" i="41"/>
  <c r="L58" i="41"/>
  <c r="K58" i="41"/>
  <c r="J58" i="41"/>
  <c r="I58" i="41"/>
  <c r="H58" i="41"/>
  <c r="G58" i="41"/>
  <c r="F58" i="41"/>
  <c r="E58" i="41"/>
  <c r="D58" i="41"/>
  <c r="C58" i="41"/>
  <c r="U59" i="41"/>
  <c r="N59" i="41"/>
  <c r="M59" i="41"/>
  <c r="L59" i="41"/>
  <c r="K59" i="41"/>
  <c r="J59" i="41"/>
  <c r="I59" i="41"/>
  <c r="H59" i="41"/>
  <c r="G59" i="41"/>
  <c r="F59" i="41"/>
  <c r="E59" i="41"/>
  <c r="D59" i="41"/>
  <c r="C59" i="41"/>
  <c r="U60" i="41"/>
  <c r="L60" i="41"/>
  <c r="K60" i="41"/>
  <c r="J60" i="41"/>
  <c r="I60" i="41"/>
  <c r="H60" i="41"/>
  <c r="G60" i="41"/>
  <c r="F60" i="41"/>
  <c r="E60" i="41"/>
  <c r="D60" i="41"/>
  <c r="U61" i="41"/>
  <c r="N61" i="41"/>
  <c r="M61" i="41"/>
  <c r="L61" i="41"/>
  <c r="K61" i="41"/>
  <c r="J61" i="41"/>
  <c r="I61" i="41"/>
  <c r="H61" i="41"/>
  <c r="G61" i="41"/>
  <c r="F61" i="41"/>
  <c r="E61" i="41"/>
  <c r="D61" i="41"/>
  <c r="C61" i="41"/>
  <c r="U62" i="41"/>
  <c r="N62" i="41"/>
  <c r="M62" i="41"/>
  <c r="L62" i="41"/>
  <c r="K62" i="41"/>
  <c r="J62" i="41"/>
  <c r="I62" i="41"/>
  <c r="H62" i="41"/>
  <c r="G62" i="41"/>
  <c r="F62" i="41"/>
  <c r="E62" i="41"/>
  <c r="D62" i="41"/>
  <c r="C62" i="41"/>
  <c r="U63" i="41"/>
  <c r="L63" i="41"/>
  <c r="K63" i="41"/>
  <c r="J63" i="41"/>
  <c r="I63" i="41"/>
  <c r="H63" i="41"/>
  <c r="G63" i="41"/>
  <c r="F63" i="41"/>
  <c r="E63" i="41"/>
  <c r="D63" i="41"/>
  <c r="U64" i="41"/>
  <c r="N64" i="41"/>
  <c r="M64" i="41"/>
  <c r="L64" i="41"/>
  <c r="K64" i="41"/>
  <c r="J64" i="41"/>
  <c r="I64" i="41"/>
  <c r="H64" i="41"/>
  <c r="G64" i="41"/>
  <c r="F64" i="41"/>
  <c r="E64" i="41"/>
  <c r="D64" i="41"/>
  <c r="C64" i="41"/>
  <c r="U65" i="41"/>
  <c r="N65" i="41"/>
  <c r="M65" i="41"/>
  <c r="L65" i="41"/>
  <c r="K65" i="41"/>
  <c r="J65" i="41"/>
  <c r="I65" i="41"/>
  <c r="H65" i="41"/>
  <c r="G65" i="41"/>
  <c r="F65" i="41"/>
  <c r="E65" i="41"/>
  <c r="D65" i="41"/>
  <c r="C65" i="41"/>
  <c r="B56" i="41"/>
  <c r="B65" i="41"/>
  <c r="B64" i="41"/>
  <c r="B59" i="41"/>
  <c r="B62" i="41"/>
  <c r="B61" i="41"/>
  <c r="B60" i="41"/>
  <c r="B58" i="41"/>
  <c r="B57" i="41"/>
  <c r="N56" i="41"/>
  <c r="M56" i="41"/>
  <c r="N54" i="41"/>
  <c r="M54" i="41"/>
  <c r="C56" i="41"/>
  <c r="C54" i="41"/>
  <c r="C55" i="41"/>
  <c r="B55" i="41"/>
  <c r="U56" i="41"/>
  <c r="U54" i="41"/>
  <c r="B54" i="41"/>
  <c r="B53" i="41"/>
  <c r="C53" i="41"/>
  <c r="D54" i="41"/>
  <c r="E54" i="41"/>
  <c r="F54" i="41"/>
  <c r="G54" i="41"/>
  <c r="H54" i="41"/>
  <c r="I54" i="41"/>
  <c r="J54" i="41"/>
  <c r="K54" i="41"/>
  <c r="L54" i="41"/>
  <c r="AC55" i="34"/>
  <c r="AD55" i="34"/>
  <c r="AE55" i="34"/>
  <c r="AF55" i="34"/>
  <c r="AG55" i="34"/>
  <c r="AH55" i="34"/>
  <c r="AI55" i="34"/>
  <c r="AJ55" i="34"/>
  <c r="AK55" i="34"/>
  <c r="AL55" i="34"/>
  <c r="AM55" i="34"/>
  <c r="AN55" i="34"/>
  <c r="AO55" i="34"/>
  <c r="AP55" i="34"/>
  <c r="AQ55" i="34"/>
  <c r="N65" i="39"/>
  <c r="M65" i="39"/>
  <c r="L65" i="39"/>
  <c r="K65" i="39"/>
  <c r="J65" i="39"/>
  <c r="I65" i="39"/>
  <c r="H65" i="39"/>
  <c r="G65" i="39"/>
  <c r="F65" i="39"/>
  <c r="E65" i="39"/>
  <c r="D65" i="39"/>
  <c r="C65" i="39"/>
  <c r="B65" i="39"/>
  <c r="N64" i="39"/>
  <c r="M64" i="39"/>
  <c r="L64" i="39"/>
  <c r="K64" i="39"/>
  <c r="J64" i="39"/>
  <c r="I64" i="39"/>
  <c r="H64" i="39"/>
  <c r="G64" i="39"/>
  <c r="F64" i="39"/>
  <c r="E64" i="39"/>
  <c r="D64" i="39"/>
  <c r="C64" i="39"/>
  <c r="B64" i="39"/>
  <c r="N63" i="39"/>
  <c r="M63" i="39"/>
  <c r="L63" i="39"/>
  <c r="K63" i="39"/>
  <c r="J63" i="39"/>
  <c r="I63" i="39"/>
  <c r="H63" i="39"/>
  <c r="G63" i="39"/>
  <c r="F63" i="39"/>
  <c r="E63" i="39"/>
  <c r="D63" i="39"/>
  <c r="C63" i="39"/>
  <c r="B63" i="39"/>
  <c r="N62" i="39"/>
  <c r="M62" i="39"/>
  <c r="L62" i="39"/>
  <c r="K62" i="39"/>
  <c r="J62" i="39"/>
  <c r="I62" i="39"/>
  <c r="H62" i="39"/>
  <c r="G62" i="39"/>
  <c r="F62" i="39"/>
  <c r="E62" i="39"/>
  <c r="D62" i="39"/>
  <c r="C62" i="39"/>
  <c r="B62" i="39"/>
  <c r="N61" i="39"/>
  <c r="M61" i="39"/>
  <c r="L61" i="39"/>
  <c r="K61" i="39"/>
  <c r="J61" i="39"/>
  <c r="I61" i="39"/>
  <c r="H61" i="39"/>
  <c r="G61" i="39"/>
  <c r="F61" i="39"/>
  <c r="E61" i="39"/>
  <c r="D61" i="39"/>
  <c r="C61" i="39"/>
  <c r="B61" i="39"/>
  <c r="N60" i="39"/>
  <c r="M60" i="39"/>
  <c r="L60" i="39"/>
  <c r="K60" i="39"/>
  <c r="J60" i="39"/>
  <c r="I60" i="39"/>
  <c r="H60" i="39"/>
  <c r="G60" i="39"/>
  <c r="F60" i="39"/>
  <c r="E60" i="39"/>
  <c r="D60" i="39"/>
  <c r="C60" i="39"/>
  <c r="B60" i="39"/>
  <c r="N59" i="39"/>
  <c r="M59" i="39"/>
  <c r="L59" i="39"/>
  <c r="K59" i="39"/>
  <c r="J59" i="39"/>
  <c r="I59" i="39"/>
  <c r="H59" i="39"/>
  <c r="G59" i="39"/>
  <c r="F59" i="39"/>
  <c r="E59" i="39"/>
  <c r="D59" i="39"/>
  <c r="C59" i="39"/>
  <c r="B59" i="39"/>
  <c r="N58" i="39"/>
  <c r="M58" i="39"/>
  <c r="L58" i="39"/>
  <c r="K58" i="39"/>
  <c r="J58" i="39"/>
  <c r="I58" i="39"/>
  <c r="H58" i="39"/>
  <c r="G58" i="39"/>
  <c r="F58" i="39"/>
  <c r="E58" i="39"/>
  <c r="D58" i="39"/>
  <c r="C58" i="39"/>
  <c r="B58" i="39"/>
  <c r="AQ57" i="31"/>
  <c r="AP57" i="31"/>
  <c r="AO57" i="31"/>
  <c r="AN57" i="31"/>
  <c r="AM57" i="31"/>
  <c r="AL57" i="31"/>
  <c r="AK57" i="31"/>
  <c r="AJ57" i="31"/>
  <c r="AI57" i="31"/>
  <c r="AH57" i="31"/>
  <c r="AG57"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D9" i="30"/>
  <c r="E9" i="30" s="1"/>
  <c r="E3" i="30"/>
  <c r="D14" i="30"/>
  <c r="E14" i="30" s="1"/>
  <c r="A14" i="30"/>
  <c r="I51" i="39"/>
  <c r="H51" i="39"/>
  <c r="G51" i="39"/>
  <c r="C51" i="39"/>
  <c r="B51" i="39"/>
  <c r="T51" i="42"/>
  <c r="S51" i="42"/>
  <c r="R51" i="42"/>
  <c r="Q51" i="42"/>
  <c r="P51" i="42"/>
  <c r="O51" i="42"/>
  <c r="L51" i="42"/>
  <c r="K51" i="42"/>
  <c r="J51" i="42"/>
  <c r="H51" i="42"/>
  <c r="G51" i="42"/>
  <c r="AP51" i="35"/>
  <c r="AO51" i="35"/>
  <c r="AN51" i="35"/>
  <c r="AM51" i="35"/>
  <c r="AL51" i="35"/>
  <c r="AK51" i="35"/>
  <c r="AJ51" i="35"/>
  <c r="AI51" i="35"/>
  <c r="AH51" i="35"/>
  <c r="AG51" i="35"/>
  <c r="W51" i="35"/>
  <c r="V51" i="35"/>
  <c r="U51" i="35"/>
  <c r="T51" i="35"/>
  <c r="S51" i="35"/>
  <c r="R51" i="35"/>
  <c r="AP51" i="34"/>
  <c r="AO51" i="34"/>
  <c r="AN51" i="34"/>
  <c r="AM51" i="34"/>
  <c r="AL51" i="34"/>
  <c r="AK51" i="34"/>
  <c r="AJ51" i="34"/>
  <c r="AI51" i="34"/>
  <c r="AH51" i="34"/>
  <c r="AG51" i="34"/>
  <c r="W51" i="34"/>
  <c r="V51" i="34"/>
  <c r="U51" i="34"/>
  <c r="T51" i="34"/>
  <c r="S51" i="34"/>
  <c r="R51" i="34"/>
  <c r="AP51" i="31"/>
  <c r="AO51" i="31"/>
  <c r="AN51" i="31"/>
  <c r="AM51" i="31"/>
  <c r="AL51" i="31"/>
  <c r="AK51" i="31"/>
  <c r="AJ51" i="31"/>
  <c r="AI51" i="31"/>
  <c r="AH51" i="31"/>
  <c r="AG51" i="31"/>
  <c r="S51" i="31"/>
  <c r="T51" i="31"/>
  <c r="U51" i="31"/>
  <c r="V51" i="31"/>
  <c r="W51" i="31"/>
  <c r="R51" i="31"/>
  <c r="A65" i="39"/>
  <c r="AB18" i="31"/>
  <c r="AA18" i="31"/>
  <c r="Z18" i="31"/>
  <c r="Y18" i="31"/>
  <c r="X18" i="31"/>
  <c r="W18" i="31"/>
  <c r="V18" i="31"/>
  <c r="U18" i="31"/>
  <c r="T18" i="31"/>
  <c r="S18" i="31"/>
  <c r="R18" i="31"/>
  <c r="Q18" i="31"/>
  <c r="P18" i="31"/>
  <c r="AL18" i="31" s="1"/>
  <c r="O18" i="31"/>
  <c r="N18" i="31"/>
  <c r="AJ18" i="31" s="1"/>
  <c r="M18" i="31"/>
  <c r="AI18" i="31" s="1"/>
  <c r="L18" i="31"/>
  <c r="K18" i="31"/>
  <c r="J18" i="31"/>
  <c r="I18" i="31"/>
  <c r="H18" i="31"/>
  <c r="G18" i="31"/>
  <c r="F18" i="31"/>
  <c r="E18" i="31"/>
  <c r="D18" i="31"/>
  <c r="C18" i="31"/>
  <c r="B18" i="31"/>
  <c r="AQ65" i="31"/>
  <c r="AP65" i="31"/>
  <c r="AO65" i="31"/>
  <c r="AN65" i="31"/>
  <c r="AM65" i="31"/>
  <c r="AL65" i="31"/>
  <c r="AK65" i="31"/>
  <c r="AJ65" i="31"/>
  <c r="AI65" i="31"/>
  <c r="AH65" i="31"/>
  <c r="AG65" i="31"/>
  <c r="AF65" i="31"/>
  <c r="AE65" i="31"/>
  <c r="AD65" i="31"/>
  <c r="AC65" i="31"/>
  <c r="AB65" i="31"/>
  <c r="AA65" i="31"/>
  <c r="Z65" i="31"/>
  <c r="Y65" i="31"/>
  <c r="X65" i="31"/>
  <c r="W65" i="31"/>
  <c r="V65" i="31"/>
  <c r="U65" i="31"/>
  <c r="T65" i="31"/>
  <c r="S65" i="31"/>
  <c r="R65" i="31"/>
  <c r="Q65" i="31"/>
  <c r="P65" i="31"/>
  <c r="O65" i="31"/>
  <c r="N65" i="31"/>
  <c r="M65" i="31"/>
  <c r="L65" i="31"/>
  <c r="K65" i="31"/>
  <c r="J65" i="31"/>
  <c r="I65" i="31"/>
  <c r="H65" i="31"/>
  <c r="G65" i="31"/>
  <c r="F65" i="31"/>
  <c r="E65" i="31"/>
  <c r="D65" i="31"/>
  <c r="C65"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G64" i="31"/>
  <c r="F64" i="31"/>
  <c r="E64" i="31"/>
  <c r="D64" i="31"/>
  <c r="C64"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65" i="31"/>
  <c r="B64" i="31"/>
  <c r="B63" i="31"/>
  <c r="B62" i="31"/>
  <c r="B61" i="31"/>
  <c r="B60" i="31"/>
  <c r="B59" i="31"/>
  <c r="B58" i="31"/>
  <c r="A65" i="42"/>
  <c r="A65" i="41"/>
  <c r="A65" i="31"/>
  <c r="AP30" i="34"/>
  <c r="AO30" i="34"/>
  <c r="AN30" i="34"/>
  <c r="AM30" i="34"/>
  <c r="AL30" i="34"/>
  <c r="AK30" i="34"/>
  <c r="AJ30" i="34"/>
  <c r="AI30" i="34"/>
  <c r="AH30" i="34"/>
  <c r="AG30" i="34"/>
  <c r="AF30" i="34"/>
  <c r="AE30" i="34"/>
  <c r="AD30" i="34"/>
  <c r="AC30" i="34"/>
  <c r="X30" i="34"/>
  <c r="W30" i="34"/>
  <c r="V30" i="34"/>
  <c r="U30" i="34"/>
  <c r="T30" i="34"/>
  <c r="S30" i="34"/>
  <c r="R30" i="34"/>
  <c r="Q30" i="34"/>
  <c r="P30" i="34"/>
  <c r="M30" i="34"/>
  <c r="L30" i="34"/>
  <c r="K30" i="34"/>
  <c r="J30" i="34"/>
  <c r="E30" i="34"/>
  <c r="A65" i="35"/>
  <c r="AC30" i="35"/>
  <c r="AD30" i="35"/>
  <c r="AE30" i="35"/>
  <c r="AF30" i="35"/>
  <c r="AG30" i="35"/>
  <c r="AH30" i="35"/>
  <c r="AI30" i="35"/>
  <c r="AJ30" i="35"/>
  <c r="AK30" i="35"/>
  <c r="AL30" i="35"/>
  <c r="AM30" i="35"/>
  <c r="AN30" i="35"/>
  <c r="AO30" i="35"/>
  <c r="AP30" i="35"/>
  <c r="E30" i="35"/>
  <c r="J30" i="35"/>
  <c r="K30" i="35"/>
  <c r="L30" i="35"/>
  <c r="M30" i="35"/>
  <c r="P30" i="35"/>
  <c r="Q30" i="35"/>
  <c r="R30" i="35"/>
  <c r="S30" i="35"/>
  <c r="T30" i="35"/>
  <c r="U30" i="35"/>
  <c r="V30" i="35"/>
  <c r="W30" i="35"/>
  <c r="X30" i="35"/>
  <c r="B11" i="35"/>
  <c r="AQ30" i="35" s="1"/>
  <c r="A65" i="34"/>
  <c r="B11" i="34"/>
  <c r="AB30" i="34" s="1"/>
  <c r="C30" i="39"/>
  <c r="G30" i="39"/>
  <c r="H30" i="39"/>
  <c r="I30" i="39"/>
  <c r="B30" i="39"/>
  <c r="B11" i="39"/>
  <c r="J30" i="39" s="1"/>
  <c r="T30" i="42"/>
  <c r="S30" i="42"/>
  <c r="R30" i="42"/>
  <c r="Q30" i="42"/>
  <c r="P30" i="42"/>
  <c r="O30" i="42"/>
  <c r="L30" i="42"/>
  <c r="K30" i="42"/>
  <c r="J30" i="42"/>
  <c r="H30" i="42"/>
  <c r="G30" i="42"/>
  <c r="L26" i="42"/>
  <c r="K26" i="42"/>
  <c r="J26" i="42"/>
  <c r="H26" i="42"/>
  <c r="G26" i="42"/>
  <c r="N24" i="42"/>
  <c r="M24" i="42"/>
  <c r="I24" i="42"/>
  <c r="F24" i="42"/>
  <c r="E24" i="42"/>
  <c r="D24" i="42"/>
  <c r="C24" i="42"/>
  <c r="B24" i="42"/>
  <c r="B11" i="42"/>
  <c r="B30" i="42" s="1"/>
  <c r="T30" i="41"/>
  <c r="S30" i="41"/>
  <c r="R30" i="41"/>
  <c r="Q30" i="41"/>
  <c r="P30" i="41"/>
  <c r="O30" i="41"/>
  <c r="L30" i="41"/>
  <c r="K30" i="41"/>
  <c r="J30" i="41"/>
  <c r="H30" i="41"/>
  <c r="G30" i="41"/>
  <c r="B11" i="41"/>
  <c r="U30" i="41" s="1"/>
  <c r="AP30" i="31"/>
  <c r="AO30" i="31"/>
  <c r="AN30" i="31"/>
  <c r="AM30" i="31"/>
  <c r="AL30" i="31"/>
  <c r="AK30" i="31"/>
  <c r="AJ30" i="31"/>
  <c r="AI30" i="31"/>
  <c r="AH30" i="31"/>
  <c r="AG30" i="31"/>
  <c r="AF30" i="31"/>
  <c r="AE30" i="31"/>
  <c r="AD30" i="31"/>
  <c r="AC30" i="31"/>
  <c r="E30" i="31"/>
  <c r="J30" i="31"/>
  <c r="K30" i="31"/>
  <c r="L30" i="31"/>
  <c r="M30" i="31"/>
  <c r="P30" i="31"/>
  <c r="Q30" i="31"/>
  <c r="R30" i="31"/>
  <c r="S30" i="31"/>
  <c r="T30" i="31"/>
  <c r="U30" i="31"/>
  <c r="V30" i="31"/>
  <c r="W30" i="31"/>
  <c r="X30" i="31"/>
  <c r="B11" i="31"/>
  <c r="F30" i="31" s="1"/>
  <c r="E30" i="41"/>
  <c r="M30" i="41"/>
  <c r="F30" i="42"/>
  <c r="D6" i="30"/>
  <c r="E6" i="30" s="1"/>
  <c r="D5" i="30"/>
  <c r="E5" i="30" s="1"/>
  <c r="A6" i="30"/>
  <c r="A5" i="30"/>
  <c r="B3" i="42"/>
  <c r="B7" i="42"/>
  <c r="B8" i="42" s="1"/>
  <c r="B9" i="42"/>
  <c r="R23" i="42" s="1"/>
  <c r="B10" i="42"/>
  <c r="O24" i="42" s="1"/>
  <c r="B18" i="42"/>
  <c r="C18" i="42"/>
  <c r="D18" i="42"/>
  <c r="E18" i="42"/>
  <c r="F18" i="42"/>
  <c r="G18" i="42"/>
  <c r="H18" i="42"/>
  <c r="I18" i="42"/>
  <c r="J18" i="42"/>
  <c r="K18" i="42"/>
  <c r="L18" i="42"/>
  <c r="M18" i="42"/>
  <c r="N18" i="42"/>
  <c r="U24" i="42"/>
  <c r="O26" i="42"/>
  <c r="P26" i="42"/>
  <c r="Q26" i="42"/>
  <c r="R26" i="42"/>
  <c r="S26" i="42"/>
  <c r="T26" i="42"/>
  <c r="A53" i="42"/>
  <c r="A54" i="42"/>
  <c r="A55" i="42"/>
  <c r="A56" i="42"/>
  <c r="O77" i="42"/>
  <c r="O56" i="42" s="1"/>
  <c r="P77" i="42"/>
  <c r="P65" i="42" s="1"/>
  <c r="Q77" i="42"/>
  <c r="Q61" i="42" s="1"/>
  <c r="R77" i="42"/>
  <c r="R56" i="42" s="1"/>
  <c r="S77" i="42"/>
  <c r="S59" i="42" s="1"/>
  <c r="T77" i="42"/>
  <c r="T60" i="42" s="1"/>
  <c r="G78" i="42"/>
  <c r="H78" i="42"/>
  <c r="J78" i="42"/>
  <c r="K78" i="42"/>
  <c r="L78" i="42"/>
  <c r="G79" i="42"/>
  <c r="H79" i="42"/>
  <c r="J79" i="42"/>
  <c r="K79" i="42"/>
  <c r="L79" i="42"/>
  <c r="B81" i="42" a="1"/>
  <c r="B81" i="42" s="1"/>
  <c r="B3" i="41"/>
  <c r="B7" i="41"/>
  <c r="B8" i="41" s="1"/>
  <c r="B9" i="41"/>
  <c r="O23" i="41" s="1"/>
  <c r="B10" i="41"/>
  <c r="O24" i="41" s="1"/>
  <c r="B18" i="41"/>
  <c r="C18" i="41"/>
  <c r="D18" i="41"/>
  <c r="E18" i="41"/>
  <c r="F18" i="41"/>
  <c r="G18" i="41"/>
  <c r="H18" i="41"/>
  <c r="I18" i="41"/>
  <c r="J18" i="41"/>
  <c r="K18" i="41"/>
  <c r="L18" i="41"/>
  <c r="M18" i="41"/>
  <c r="N18" i="41"/>
  <c r="B24" i="41"/>
  <c r="C24" i="41"/>
  <c r="D24" i="41"/>
  <c r="E24" i="41"/>
  <c r="F24" i="41"/>
  <c r="I24" i="41"/>
  <c r="M24" i="41"/>
  <c r="N24" i="41"/>
  <c r="U24" i="41"/>
  <c r="G26" i="41"/>
  <c r="H26" i="41"/>
  <c r="J26" i="41"/>
  <c r="K26" i="41"/>
  <c r="L26" i="41"/>
  <c r="O26" i="41"/>
  <c r="P26" i="41"/>
  <c r="Q26" i="41"/>
  <c r="R26" i="41"/>
  <c r="S26" i="41"/>
  <c r="T26" i="41"/>
  <c r="A53" i="41"/>
  <c r="D53" i="41"/>
  <c r="E53" i="41"/>
  <c r="F53" i="41"/>
  <c r="G53" i="41"/>
  <c r="H53" i="41"/>
  <c r="I53" i="41"/>
  <c r="J53" i="41"/>
  <c r="K53" i="41"/>
  <c r="L53" i="41"/>
  <c r="M53" i="41"/>
  <c r="N53" i="41"/>
  <c r="O53" i="41"/>
  <c r="P53" i="41"/>
  <c r="Q53" i="41"/>
  <c r="R53" i="41"/>
  <c r="S53" i="41"/>
  <c r="T53" i="41"/>
  <c r="U53" i="41"/>
  <c r="A54" i="41"/>
  <c r="A55" i="41"/>
  <c r="D55" i="41"/>
  <c r="E55" i="41"/>
  <c r="F55" i="41"/>
  <c r="G55" i="41"/>
  <c r="H55" i="41"/>
  <c r="I55" i="41"/>
  <c r="J55" i="41"/>
  <c r="K55" i="41"/>
  <c r="L55" i="41"/>
  <c r="M55" i="41"/>
  <c r="N55" i="41"/>
  <c r="O55" i="41"/>
  <c r="P55" i="41"/>
  <c r="Q55" i="41"/>
  <c r="R55" i="41"/>
  <c r="S55" i="41"/>
  <c r="T55" i="41"/>
  <c r="U55" i="41"/>
  <c r="A56" i="41"/>
  <c r="D56" i="41"/>
  <c r="E56" i="41"/>
  <c r="F56" i="41"/>
  <c r="G56" i="41"/>
  <c r="H56" i="41"/>
  <c r="I56" i="41"/>
  <c r="J56" i="41"/>
  <c r="K56" i="41"/>
  <c r="L56" i="41"/>
  <c r="O77" i="41"/>
  <c r="O58" i="41" s="1"/>
  <c r="P77" i="41"/>
  <c r="P61" i="41" s="1"/>
  <c r="Q77" i="41"/>
  <c r="Q60" i="41" s="1"/>
  <c r="R77" i="41"/>
  <c r="R57" i="41" s="1"/>
  <c r="S77" i="41"/>
  <c r="S18" i="41" s="1"/>
  <c r="T77" i="41"/>
  <c r="T62" i="41" s="1"/>
  <c r="G78" i="41"/>
  <c r="H78" i="41"/>
  <c r="J78" i="41"/>
  <c r="K78" i="41"/>
  <c r="L78" i="41"/>
  <c r="G79" i="41"/>
  <c r="H79" i="41"/>
  <c r="J79" i="41"/>
  <c r="K79" i="41"/>
  <c r="L79" i="41"/>
  <c r="B81" i="41" a="1"/>
  <c r="B81" i="41" s="1"/>
  <c r="D4" i="30"/>
  <c r="E4" i="30" s="1"/>
  <c r="A4" i="30"/>
  <c r="I78" i="39"/>
  <c r="H78" i="39"/>
  <c r="G78" i="39"/>
  <c r="C78" i="39"/>
  <c r="B78" i="39"/>
  <c r="A64" i="39"/>
  <c r="A63" i="39"/>
  <c r="A62" i="39"/>
  <c r="A61" i="39"/>
  <c r="A60" i="39"/>
  <c r="A59" i="39"/>
  <c r="A58" i="39"/>
  <c r="A57" i="39"/>
  <c r="A56" i="39"/>
  <c r="N55" i="39"/>
  <c r="M55" i="39"/>
  <c r="L55" i="39"/>
  <c r="K55" i="39"/>
  <c r="J55" i="39"/>
  <c r="I55" i="39"/>
  <c r="H55" i="39"/>
  <c r="G55" i="39"/>
  <c r="F55" i="39"/>
  <c r="E55" i="39"/>
  <c r="D55" i="39"/>
  <c r="C55" i="39"/>
  <c r="B55" i="39"/>
  <c r="A55" i="39"/>
  <c r="A54" i="39"/>
  <c r="N53" i="39"/>
  <c r="M53" i="39"/>
  <c r="L53" i="39"/>
  <c r="K53" i="39"/>
  <c r="J53" i="39"/>
  <c r="I53" i="39"/>
  <c r="H53" i="39"/>
  <c r="G53" i="39"/>
  <c r="F53" i="39"/>
  <c r="E53" i="39"/>
  <c r="D53" i="39"/>
  <c r="C53" i="39"/>
  <c r="B53" i="39"/>
  <c r="A53" i="39"/>
  <c r="I26" i="39"/>
  <c r="H26" i="39"/>
  <c r="G26" i="39"/>
  <c r="C26" i="39"/>
  <c r="B26" i="39"/>
  <c r="N24" i="39"/>
  <c r="M24" i="39"/>
  <c r="L24" i="39"/>
  <c r="K24" i="39"/>
  <c r="J24" i="39"/>
  <c r="F24" i="39"/>
  <c r="E24" i="39"/>
  <c r="D24" i="39"/>
  <c r="M18" i="39"/>
  <c r="L18" i="39"/>
  <c r="K18" i="39"/>
  <c r="J18" i="39"/>
  <c r="I18" i="39"/>
  <c r="H18" i="39"/>
  <c r="G18" i="39"/>
  <c r="F18" i="39"/>
  <c r="E18" i="39"/>
  <c r="D18" i="39"/>
  <c r="C18" i="39"/>
  <c r="B18" i="39"/>
  <c r="B10" i="39"/>
  <c r="B24" i="39" s="1"/>
  <c r="B9" i="39"/>
  <c r="F23" i="39" s="1"/>
  <c r="B7" i="39"/>
  <c r="B8" i="39" s="1"/>
  <c r="B3" i="39"/>
  <c r="T23" i="42"/>
  <c r="U23" i="42"/>
  <c r="S65" i="42"/>
  <c r="S63" i="42"/>
  <c r="S62" i="42"/>
  <c r="S64" i="42"/>
  <c r="S61" i="42"/>
  <c r="S60" i="42"/>
  <c r="S58" i="42"/>
  <c r="Q62" i="42"/>
  <c r="T65" i="42"/>
  <c r="T64" i="42"/>
  <c r="T63" i="42"/>
  <c r="T62" i="42"/>
  <c r="T56" i="42"/>
  <c r="T54" i="42"/>
  <c r="R60" i="42"/>
  <c r="R54" i="41"/>
  <c r="Q58" i="41"/>
  <c r="T18" i="42"/>
  <c r="L23" i="42"/>
  <c r="H23" i="42"/>
  <c r="F23" i="42"/>
  <c r="M23" i="42"/>
  <c r="K23" i="42"/>
  <c r="I23" i="42"/>
  <c r="E23" i="42"/>
  <c r="C23" i="42"/>
  <c r="S18" i="42"/>
  <c r="U23" i="41"/>
  <c r="C24" i="39"/>
  <c r="B18" i="34"/>
  <c r="C18" i="34"/>
  <c r="D18" i="34"/>
  <c r="E18" i="34"/>
  <c r="F18" i="34"/>
  <c r="G18" i="34"/>
  <c r="H18" i="34"/>
  <c r="AD18" i="34" s="1"/>
  <c r="I18" i="34"/>
  <c r="AE18" i="34" s="1"/>
  <c r="J18" i="34"/>
  <c r="AF18" i="34" s="1"/>
  <c r="K18" i="34"/>
  <c r="AG18" i="34" s="1"/>
  <c r="L18" i="34"/>
  <c r="AH18" i="34" s="1"/>
  <c r="M18" i="34"/>
  <c r="AI18" i="34" s="1"/>
  <c r="N18" i="34"/>
  <c r="O18" i="34"/>
  <c r="AK18" i="34" s="1"/>
  <c r="P18" i="34"/>
  <c r="Q18" i="34"/>
  <c r="R18" i="34"/>
  <c r="S18" i="34"/>
  <c r="T18" i="34"/>
  <c r="U18" i="34"/>
  <c r="V18" i="34"/>
  <c r="W18" i="34"/>
  <c r="X18" i="34"/>
  <c r="Y18" i="34"/>
  <c r="AM18" i="34" s="1"/>
  <c r="Z18" i="34"/>
  <c r="AN18" i="34" s="1"/>
  <c r="AA18" i="34"/>
  <c r="AO18" i="34" s="1"/>
  <c r="AB18" i="34"/>
  <c r="AP18" i="34" s="1"/>
  <c r="AP77" i="35"/>
  <c r="AO77" i="35"/>
  <c r="AN77" i="35"/>
  <c r="AM77" i="35"/>
  <c r="AL77" i="35"/>
  <c r="AK77" i="35"/>
  <c r="AJ77" i="35"/>
  <c r="AI77" i="35"/>
  <c r="AH77" i="35"/>
  <c r="AG77" i="35"/>
  <c r="AF77" i="35"/>
  <c r="AE77" i="35"/>
  <c r="AD77" i="35"/>
  <c r="AC77" i="35"/>
  <c r="B81" i="31" a="1"/>
  <c r="B81" i="31" s="1"/>
  <c r="W78" i="31"/>
  <c r="V78" i="31"/>
  <c r="U78" i="31"/>
  <c r="T78" i="31"/>
  <c r="S78" i="31"/>
  <c r="R78" i="31"/>
  <c r="AP77" i="31"/>
  <c r="AO77" i="31"/>
  <c r="AN77" i="31"/>
  <c r="AM77" i="31"/>
  <c r="AL77" i="31"/>
  <c r="AK77" i="31"/>
  <c r="AJ77" i="31"/>
  <c r="AI77" i="31"/>
  <c r="AH77" i="31"/>
  <c r="AG77" i="31"/>
  <c r="AF77" i="31"/>
  <c r="AE77" i="31"/>
  <c r="AD77" i="31"/>
  <c r="AC77" i="31"/>
  <c r="B81" i="35" a="1"/>
  <c r="B81" i="35" s="1"/>
  <c r="W78" i="35"/>
  <c r="V78" i="35"/>
  <c r="U78" i="35"/>
  <c r="T78" i="35"/>
  <c r="S78" i="35"/>
  <c r="R78" i="35"/>
  <c r="AQ55" i="31"/>
  <c r="AQ53" i="31"/>
  <c r="AP26" i="31"/>
  <c r="AO26" i="31"/>
  <c r="AN26" i="31"/>
  <c r="AM26" i="31"/>
  <c r="AL26" i="31"/>
  <c r="AK26" i="31"/>
  <c r="AJ26" i="31"/>
  <c r="AI26" i="31"/>
  <c r="AH26" i="31"/>
  <c r="AG26" i="31"/>
  <c r="AF26" i="31"/>
  <c r="AE26" i="31"/>
  <c r="AD26" i="31"/>
  <c r="AC26" i="31"/>
  <c r="X26" i="31"/>
  <c r="W26" i="31"/>
  <c r="V26" i="31"/>
  <c r="U26" i="31"/>
  <c r="T26" i="31"/>
  <c r="S26" i="31"/>
  <c r="R26" i="31"/>
  <c r="Q26" i="31"/>
  <c r="P26" i="31"/>
  <c r="M26" i="31"/>
  <c r="L26" i="31"/>
  <c r="K26" i="31"/>
  <c r="J26" i="31"/>
  <c r="E26" i="31"/>
  <c r="AQ24" i="31"/>
  <c r="AB24" i="31"/>
  <c r="AA24" i="31"/>
  <c r="Z24" i="31"/>
  <c r="Y24" i="31"/>
  <c r="X24" i="31"/>
  <c r="Q24" i="31"/>
  <c r="P24" i="31"/>
  <c r="O24" i="31"/>
  <c r="N24" i="31"/>
  <c r="M24" i="31"/>
  <c r="L24" i="31"/>
  <c r="K24" i="31"/>
  <c r="J24" i="31"/>
  <c r="I24" i="31"/>
  <c r="H24" i="31"/>
  <c r="G24" i="31"/>
  <c r="F24" i="31"/>
  <c r="E24" i="31"/>
  <c r="D24" i="31"/>
  <c r="C24" i="31"/>
  <c r="B24" i="31"/>
  <c r="AP18" i="31"/>
  <c r="AO18" i="31"/>
  <c r="AN18" i="31"/>
  <c r="AM18" i="31"/>
  <c r="AK18" i="31"/>
  <c r="A64" i="31"/>
  <c r="A63" i="31"/>
  <c r="A62" i="31"/>
  <c r="A61" i="31"/>
  <c r="A60" i="31"/>
  <c r="A59" i="31"/>
  <c r="A58" i="31"/>
  <c r="A57" i="31"/>
  <c r="A56"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54"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C53" i="31"/>
  <c r="AD53" i="31"/>
  <c r="AE53" i="31"/>
  <c r="AF53" i="31"/>
  <c r="AG53" i="31"/>
  <c r="AH53" i="31"/>
  <c r="AI53" i="31"/>
  <c r="AJ53" i="31"/>
  <c r="AK53" i="31"/>
  <c r="AL53" i="31"/>
  <c r="AM53" i="31"/>
  <c r="AN53" i="31"/>
  <c r="AO53" i="31"/>
  <c r="AP53" i="31"/>
  <c r="AC55" i="31"/>
  <c r="AD55" i="31"/>
  <c r="AE55" i="31"/>
  <c r="AF55" i="31"/>
  <c r="AG55" i="31"/>
  <c r="AH55" i="31"/>
  <c r="AI55" i="31"/>
  <c r="AJ55" i="31"/>
  <c r="AK55" i="31"/>
  <c r="AL55" i="31"/>
  <c r="AM55" i="31"/>
  <c r="AN55" i="31"/>
  <c r="AO55" i="31"/>
  <c r="AP55" i="31"/>
  <c r="A64" i="35"/>
  <c r="A63" i="35"/>
  <c r="A62" i="35"/>
  <c r="A61" i="35"/>
  <c r="A60" i="35"/>
  <c r="A59" i="35"/>
  <c r="A58" i="35"/>
  <c r="A57" i="35"/>
  <c r="A56" i="35"/>
  <c r="A55" i="35"/>
  <c r="A54" i="35"/>
  <c r="A53" i="35"/>
  <c r="AP26" i="35"/>
  <c r="AO26" i="35"/>
  <c r="AN26" i="35"/>
  <c r="AM26" i="35"/>
  <c r="AL26" i="35"/>
  <c r="AK26" i="35"/>
  <c r="AJ26" i="35"/>
  <c r="AI26" i="35"/>
  <c r="AH26" i="35"/>
  <c r="AG26" i="35"/>
  <c r="AF26" i="35"/>
  <c r="AE26" i="35"/>
  <c r="AD26" i="35"/>
  <c r="AC26" i="35"/>
  <c r="X26" i="35"/>
  <c r="W26" i="35"/>
  <c r="V26" i="35"/>
  <c r="U26" i="35"/>
  <c r="T26" i="35"/>
  <c r="S26" i="35"/>
  <c r="R26" i="35"/>
  <c r="Q26" i="35"/>
  <c r="P26" i="35"/>
  <c r="M26" i="35"/>
  <c r="L26" i="35"/>
  <c r="K26" i="35"/>
  <c r="J26" i="35"/>
  <c r="E26" i="35"/>
  <c r="AQ24" i="35"/>
  <c r="AB24" i="35"/>
  <c r="AA24" i="35"/>
  <c r="Z24" i="35"/>
  <c r="Y24" i="35"/>
  <c r="X24" i="35"/>
  <c r="Q24" i="35"/>
  <c r="P24" i="35"/>
  <c r="O24" i="35"/>
  <c r="N24" i="35"/>
  <c r="M24" i="35"/>
  <c r="L24" i="35"/>
  <c r="K24" i="35"/>
  <c r="J24" i="35"/>
  <c r="I24" i="35"/>
  <c r="H24" i="35"/>
  <c r="G24" i="35"/>
  <c r="F24" i="35"/>
  <c r="E24" i="35"/>
  <c r="D24" i="35"/>
  <c r="C24" i="35"/>
  <c r="B24" i="35"/>
  <c r="AB18" i="35"/>
  <c r="AP18" i="35" s="1"/>
  <c r="AA18" i="35"/>
  <c r="AO18" i="35" s="1"/>
  <c r="Z18" i="35"/>
  <c r="AN18" i="35" s="1"/>
  <c r="Y18" i="35"/>
  <c r="AM18" i="35" s="1"/>
  <c r="X18" i="35"/>
  <c r="W18" i="35"/>
  <c r="V18" i="35"/>
  <c r="U18" i="35"/>
  <c r="T18" i="35"/>
  <c r="S18" i="35"/>
  <c r="R18" i="35"/>
  <c r="Q18" i="35"/>
  <c r="P18" i="35"/>
  <c r="AL18" i="35" s="1"/>
  <c r="O18" i="35"/>
  <c r="N18" i="35"/>
  <c r="AJ18" i="35" s="1"/>
  <c r="M18" i="35"/>
  <c r="AI18" i="35" s="1"/>
  <c r="L18" i="35"/>
  <c r="AH18" i="35" s="1"/>
  <c r="K18" i="35"/>
  <c r="J18" i="35"/>
  <c r="AF18" i="35" s="1"/>
  <c r="I18" i="35"/>
  <c r="AE18" i="35" s="1"/>
  <c r="H18" i="35"/>
  <c r="AD18" i="35" s="1"/>
  <c r="G18" i="35"/>
  <c r="AC18" i="35" s="1"/>
  <c r="F18" i="35"/>
  <c r="E18" i="35"/>
  <c r="D18" i="35"/>
  <c r="C18" i="35"/>
  <c r="B18" i="35"/>
  <c r="AM77" i="34"/>
  <c r="AN77" i="34"/>
  <c r="AO77" i="34"/>
  <c r="AP77" i="34"/>
  <c r="AC77" i="34"/>
  <c r="AD77" i="34"/>
  <c r="AE77" i="34"/>
  <c r="AF77" i="34"/>
  <c r="AG77" i="34"/>
  <c r="AH77" i="34"/>
  <c r="AI77" i="34"/>
  <c r="AJ77" i="34"/>
  <c r="AK77" i="34"/>
  <c r="AL77" i="34"/>
  <c r="AQ53" i="34"/>
  <c r="AQ24" i="34"/>
  <c r="AP26" i="34"/>
  <c r="AO26" i="34"/>
  <c r="AN26" i="34"/>
  <c r="AM26" i="34"/>
  <c r="AL26" i="34"/>
  <c r="AK26" i="34"/>
  <c r="AJ26" i="34"/>
  <c r="AI26" i="34"/>
  <c r="AH26" i="34"/>
  <c r="AG26" i="34"/>
  <c r="AF26" i="34"/>
  <c r="AE26" i="34"/>
  <c r="AD26" i="34"/>
  <c r="AC26" i="34"/>
  <c r="X26" i="34"/>
  <c r="W26" i="34"/>
  <c r="V26" i="34"/>
  <c r="U26" i="34"/>
  <c r="T26" i="34"/>
  <c r="S26" i="34"/>
  <c r="R26" i="34"/>
  <c r="Q26" i="34"/>
  <c r="P26" i="34"/>
  <c r="M26" i="34"/>
  <c r="L26" i="34"/>
  <c r="K26" i="34"/>
  <c r="J26" i="34"/>
  <c r="E26" i="34"/>
  <c r="AB24" i="34"/>
  <c r="AA24" i="34"/>
  <c r="Z24" i="34"/>
  <c r="Y24" i="34"/>
  <c r="X24" i="34"/>
  <c r="Q24" i="34"/>
  <c r="P24" i="34"/>
  <c r="O24" i="34"/>
  <c r="N24" i="34"/>
  <c r="M24" i="34"/>
  <c r="L24" i="34"/>
  <c r="K24" i="34"/>
  <c r="J24" i="34"/>
  <c r="I24" i="34"/>
  <c r="H24" i="34"/>
  <c r="G24" i="34"/>
  <c r="F24" i="34"/>
  <c r="E24" i="34"/>
  <c r="D24" i="34"/>
  <c r="C24" i="34"/>
  <c r="B24" i="34"/>
  <c r="AG18" i="35"/>
  <c r="AK18" i="35"/>
  <c r="F51" i="31"/>
  <c r="F50" i="31" s="1"/>
  <c r="AQ51" i="31"/>
  <c r="AQ50" i="31" s="1"/>
  <c r="AE51" i="31"/>
  <c r="AQ35" i="31"/>
  <c r="AD51" i="31"/>
  <c r="AF51" i="31"/>
  <c r="AQ51" i="35"/>
  <c r="AQ50" i="35" s="1"/>
  <c r="D2" i="30"/>
  <c r="E2" i="30" s="1"/>
  <c r="D8" i="30"/>
  <c r="E8" i="30" s="1"/>
  <c r="E7" i="30"/>
  <c r="A2" i="30"/>
  <c r="A8" i="30"/>
  <c r="A7" i="30"/>
  <c r="B10" i="35"/>
  <c r="AM24" i="35" s="1"/>
  <c r="B9" i="35"/>
  <c r="X23" i="35" s="1"/>
  <c r="B7" i="35"/>
  <c r="B8" i="35" s="1"/>
  <c r="B3" i="35"/>
  <c r="B81" i="34" a="1"/>
  <c r="B81" i="34" s="1"/>
  <c r="W78" i="34"/>
  <c r="V78" i="34"/>
  <c r="U78" i="34"/>
  <c r="T78" i="34"/>
  <c r="S78" i="34"/>
  <c r="R78" i="34"/>
  <c r="A64" i="34"/>
  <c r="A63" i="34"/>
  <c r="A62" i="34"/>
  <c r="A61" i="34"/>
  <c r="A60" i="34"/>
  <c r="A59" i="34"/>
  <c r="A58" i="34"/>
  <c r="A57" i="34"/>
  <c r="A56"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A55" i="34"/>
  <c r="A54"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B53" i="34"/>
  <c r="A53" i="34"/>
  <c r="AL18" i="34"/>
  <c r="AJ18" i="34"/>
  <c r="AC18" i="34"/>
  <c r="B10" i="34"/>
  <c r="AO24" i="34" s="1"/>
  <c r="B9" i="34"/>
  <c r="K23" i="34" s="1"/>
  <c r="B7" i="34"/>
  <c r="B8" i="34" s="1"/>
  <c r="B3" i="34"/>
  <c r="B9" i="31"/>
  <c r="AP23" i="31" s="1"/>
  <c r="B10" i="31"/>
  <c r="AL24" i="31" s="1"/>
  <c r="AE18" i="31"/>
  <c r="AC18" i="31"/>
  <c r="AD18" i="31"/>
  <c r="AF18" i="31"/>
  <c r="AG18" i="31"/>
  <c r="AH18" i="31"/>
  <c r="Y23" i="35"/>
  <c r="AJ24" i="31"/>
  <c r="AE24" i="31"/>
  <c r="S24" i="31"/>
  <c r="AP24" i="34"/>
  <c r="AF51" i="34"/>
  <c r="AD51" i="34"/>
  <c r="Y51" i="34"/>
  <c r="Y50" i="34" s="1"/>
  <c r="I51" i="34"/>
  <c r="I50" i="34" s="1"/>
  <c r="B7" i="31"/>
  <c r="B8" i="31" s="1"/>
  <c r="B3" i="31"/>
  <c r="AC51" i="31"/>
  <c r="P47" i="34" l="1"/>
  <c r="P34" i="34"/>
  <c r="P37" i="34" s="1"/>
  <c r="P51" i="34"/>
  <c r="P50" i="34" s="1"/>
  <c r="Z47" i="35"/>
  <c r="Z34" i="35"/>
  <c r="Z37" i="35" s="1"/>
  <c r="Z51" i="35"/>
  <c r="Z50" i="35" s="1"/>
  <c r="Y51" i="31"/>
  <c r="Y50" i="31" s="1"/>
  <c r="Y34" i="31"/>
  <c r="Y37" i="31" s="1"/>
  <c r="AB47" i="34"/>
  <c r="AB34" i="34"/>
  <c r="AB37" i="34" s="1"/>
  <c r="AB51" i="34"/>
  <c r="AB50" i="34" s="1"/>
  <c r="T47" i="34"/>
  <c r="T34" i="34"/>
  <c r="T37" i="34" s="1"/>
  <c r="AC47" i="35"/>
  <c r="AC34" i="35"/>
  <c r="AC37" i="35" s="1"/>
  <c r="AC51" i="35"/>
  <c r="W47" i="35"/>
  <c r="W34" i="35"/>
  <c r="W37" i="35" s="1"/>
  <c r="R58" i="42"/>
  <c r="AC23" i="34"/>
  <c r="AQ23" i="35"/>
  <c r="I23" i="41"/>
  <c r="J23" i="41"/>
  <c r="Q54" i="41"/>
  <c r="R54" i="42"/>
  <c r="B30" i="41"/>
  <c r="G47" i="34"/>
  <c r="G34" i="34"/>
  <c r="G37" i="34" s="1"/>
  <c r="AH47" i="34"/>
  <c r="AH34" i="34"/>
  <c r="AH37" i="34" s="1"/>
  <c r="AG47" i="34"/>
  <c r="AG34" i="34"/>
  <c r="AG37" i="34" s="1"/>
  <c r="R47" i="34"/>
  <c r="R34" i="34"/>
  <c r="R37" i="34" s="1"/>
  <c r="J47" i="34"/>
  <c r="J34" i="34"/>
  <c r="J37" i="34" s="1"/>
  <c r="G47" i="35"/>
  <c r="G34" i="35"/>
  <c r="G37" i="35" s="1"/>
  <c r="O47" i="35"/>
  <c r="O34" i="35"/>
  <c r="O37" i="35" s="1"/>
  <c r="AJ47" i="35"/>
  <c r="AJ34" i="35"/>
  <c r="AJ37" i="35" s="1"/>
  <c r="E47" i="41"/>
  <c r="E34" i="41"/>
  <c r="E37" i="41" s="1"/>
  <c r="M47" i="41"/>
  <c r="M34" i="41"/>
  <c r="M37" i="41" s="1"/>
  <c r="T47" i="41"/>
  <c r="T34" i="41"/>
  <c r="T37" i="41" s="1"/>
  <c r="AH23" i="35"/>
  <c r="M23" i="41"/>
  <c r="B23" i="41"/>
  <c r="Q65" i="41"/>
  <c r="R57" i="42"/>
  <c r="N30" i="31"/>
  <c r="AF47" i="34"/>
  <c r="AF34" i="34"/>
  <c r="AF37" i="34" s="1"/>
  <c r="I47" i="34"/>
  <c r="I34" i="34"/>
  <c r="I37" i="34" s="1"/>
  <c r="AN47" i="34"/>
  <c r="AN34" i="34"/>
  <c r="AN37" i="34" s="1"/>
  <c r="Q47" i="34"/>
  <c r="Q34" i="34"/>
  <c r="Q37" i="34" s="1"/>
  <c r="H47" i="35"/>
  <c r="H34" i="35"/>
  <c r="H37" i="35" s="1"/>
  <c r="AK47" i="35"/>
  <c r="AK34" i="35"/>
  <c r="AK37" i="35" s="1"/>
  <c r="F47" i="41"/>
  <c r="F34" i="41"/>
  <c r="F37" i="41" s="1"/>
  <c r="N47" i="41"/>
  <c r="N34" i="41"/>
  <c r="N37" i="41" s="1"/>
  <c r="P23" i="41"/>
  <c r="AL23" i="35"/>
  <c r="Q23" i="41"/>
  <c r="R18" i="42"/>
  <c r="Q62" i="41"/>
  <c r="R59" i="42"/>
  <c r="AD47" i="34"/>
  <c r="AD34" i="34"/>
  <c r="AD37" i="34" s="1"/>
  <c r="AM47" i="34"/>
  <c r="AM34" i="34"/>
  <c r="AM37" i="34" s="1"/>
  <c r="AE47" i="34"/>
  <c r="AE34" i="34"/>
  <c r="AE37" i="34" s="1"/>
  <c r="X47" i="34"/>
  <c r="X34" i="34"/>
  <c r="X37" i="34" s="1"/>
  <c r="H47" i="34"/>
  <c r="H34" i="34"/>
  <c r="H37" i="34" s="1"/>
  <c r="I47" i="35"/>
  <c r="I34" i="35"/>
  <c r="I37" i="35" s="1"/>
  <c r="Q47" i="35"/>
  <c r="Q34" i="35"/>
  <c r="Q37" i="35" s="1"/>
  <c r="AD47" i="35"/>
  <c r="AD34" i="35"/>
  <c r="AD37" i="35" s="1"/>
  <c r="AL47" i="35"/>
  <c r="AL34" i="35"/>
  <c r="AL37" i="35" s="1"/>
  <c r="G47" i="41"/>
  <c r="G34" i="41"/>
  <c r="G37" i="41" s="1"/>
  <c r="O47" i="41"/>
  <c r="O34" i="41"/>
  <c r="O37" i="41" s="1"/>
  <c r="Q51" i="31"/>
  <c r="Q50" i="31" s="1"/>
  <c r="Q34" i="31"/>
  <c r="Q37" i="31" s="1"/>
  <c r="B47" i="34"/>
  <c r="B34" i="34"/>
  <c r="B37" i="34" s="1"/>
  <c r="AL47" i="34"/>
  <c r="AL34" i="34"/>
  <c r="AL37" i="34" s="1"/>
  <c r="W47" i="34"/>
  <c r="W34" i="34"/>
  <c r="W37" i="34" s="1"/>
  <c r="O47" i="34"/>
  <c r="O34" i="34"/>
  <c r="O37" i="34" s="1"/>
  <c r="B47" i="35"/>
  <c r="B34" i="35"/>
  <c r="B37" i="35" s="1"/>
  <c r="R47" i="35"/>
  <c r="R34" i="35"/>
  <c r="R37" i="35" s="1"/>
  <c r="Y47" i="35"/>
  <c r="Y34" i="35"/>
  <c r="Y37" i="35" s="1"/>
  <c r="AE47" i="35"/>
  <c r="AE34" i="35"/>
  <c r="AE37" i="35" s="1"/>
  <c r="AM47" i="35"/>
  <c r="AM34" i="35"/>
  <c r="AM37" i="35" s="1"/>
  <c r="H47" i="41"/>
  <c r="H34" i="41"/>
  <c r="H37" i="41" s="1"/>
  <c r="AI23" i="31"/>
  <c r="S23" i="41"/>
  <c r="R65" i="42"/>
  <c r="I30" i="41"/>
  <c r="N30" i="41"/>
  <c r="C47" i="34"/>
  <c r="C34" i="34"/>
  <c r="C37" i="34" s="1"/>
  <c r="AK47" i="34"/>
  <c r="AK34" i="34"/>
  <c r="AK37" i="34" s="1"/>
  <c r="AC47" i="34"/>
  <c r="AC34" i="34"/>
  <c r="AC37" i="34" s="1"/>
  <c r="C47" i="35"/>
  <c r="C34" i="35"/>
  <c r="C37" i="35" s="1"/>
  <c r="K47" i="35"/>
  <c r="K34" i="35"/>
  <c r="K37" i="35" s="1"/>
  <c r="S47" i="35"/>
  <c r="S34" i="35"/>
  <c r="S37" i="35" s="1"/>
  <c r="AF47" i="35"/>
  <c r="AF34" i="35"/>
  <c r="AF37" i="35" s="1"/>
  <c r="AN47" i="35"/>
  <c r="AN34" i="35"/>
  <c r="AN37" i="35" s="1"/>
  <c r="I47" i="41"/>
  <c r="I34" i="41"/>
  <c r="I37" i="41" s="1"/>
  <c r="P47" i="41"/>
  <c r="P34" i="41"/>
  <c r="P37" i="41" s="1"/>
  <c r="K23" i="41"/>
  <c r="D47" i="34"/>
  <c r="D34" i="34"/>
  <c r="D37" i="34" s="1"/>
  <c r="Y47" i="34"/>
  <c r="Y34" i="34"/>
  <c r="Y37" i="34" s="1"/>
  <c r="U47" i="34"/>
  <c r="U34" i="34"/>
  <c r="U37" i="34" s="1"/>
  <c r="D47" i="35"/>
  <c r="D34" i="35"/>
  <c r="D37" i="35" s="1"/>
  <c r="L47" i="35"/>
  <c r="L34" i="35"/>
  <c r="L37" i="35" s="1"/>
  <c r="T47" i="35"/>
  <c r="T34" i="35"/>
  <c r="T37" i="35" s="1"/>
  <c r="AG47" i="35"/>
  <c r="AG34" i="35"/>
  <c r="AG37" i="35" s="1"/>
  <c r="AO47" i="35"/>
  <c r="AO34" i="35"/>
  <c r="AO37" i="35" s="1"/>
  <c r="B47" i="41"/>
  <c r="B34" i="41"/>
  <c r="B37" i="41" s="1"/>
  <c r="J47" i="41"/>
  <c r="J34" i="41"/>
  <c r="J37" i="41" s="1"/>
  <c r="Q47" i="41"/>
  <c r="Q34" i="41"/>
  <c r="Q37" i="41" s="1"/>
  <c r="AA23" i="35"/>
  <c r="N23" i="41"/>
  <c r="C23" i="41"/>
  <c r="R63" i="42"/>
  <c r="C30" i="41"/>
  <c r="E47" i="34"/>
  <c r="E34" i="34"/>
  <c r="E37" i="34" s="1"/>
  <c r="V47" i="34"/>
  <c r="V34" i="34"/>
  <c r="V37" i="34" s="1"/>
  <c r="AQ47" i="34"/>
  <c r="AQ34" i="34"/>
  <c r="AQ37" i="34" s="1"/>
  <c r="AI47" i="34"/>
  <c r="AI34" i="34"/>
  <c r="AI37" i="34" s="1"/>
  <c r="AA47" i="34"/>
  <c r="AA34" i="34"/>
  <c r="AA37" i="34" s="1"/>
  <c r="E47" i="35"/>
  <c r="E34" i="35"/>
  <c r="E37" i="35" s="1"/>
  <c r="M47" i="35"/>
  <c r="M34" i="35"/>
  <c r="M37" i="35" s="1"/>
  <c r="U47" i="35"/>
  <c r="U34" i="35"/>
  <c r="U37" i="35" s="1"/>
  <c r="AH47" i="35"/>
  <c r="AH34" i="35"/>
  <c r="AH37" i="35" s="1"/>
  <c r="AP47" i="35"/>
  <c r="AP34" i="35"/>
  <c r="AP37" i="35" s="1"/>
  <c r="C47" i="41"/>
  <c r="C34" i="41"/>
  <c r="C37" i="41" s="1"/>
  <c r="K47" i="41"/>
  <c r="K34" i="41"/>
  <c r="K37" i="41" s="1"/>
  <c r="R47" i="41"/>
  <c r="R34" i="41"/>
  <c r="R37" i="41" s="1"/>
  <c r="AO23" i="35"/>
  <c r="E23" i="41"/>
  <c r="L23" i="41"/>
  <c r="Q56" i="41"/>
  <c r="R64" i="42"/>
  <c r="D30" i="41"/>
  <c r="F47" i="34"/>
  <c r="F34" i="34"/>
  <c r="F37" i="34" s="1"/>
  <c r="AJ47" i="34"/>
  <c r="AJ34" i="34"/>
  <c r="AJ37" i="34" s="1"/>
  <c r="AP47" i="34"/>
  <c r="AP34" i="34"/>
  <c r="AP37" i="34" s="1"/>
  <c r="S47" i="34"/>
  <c r="S34" i="34"/>
  <c r="S37" i="34" s="1"/>
  <c r="K47" i="34"/>
  <c r="K34" i="34"/>
  <c r="K37" i="34" s="1"/>
  <c r="F47" i="35"/>
  <c r="F34" i="35"/>
  <c r="F37" i="35" s="1"/>
  <c r="N47" i="35"/>
  <c r="N34" i="35"/>
  <c r="N37" i="35" s="1"/>
  <c r="V47" i="35"/>
  <c r="V34" i="35"/>
  <c r="V37" i="35" s="1"/>
  <c r="AB47" i="35"/>
  <c r="AB34" i="35"/>
  <c r="AB37" i="35" s="1"/>
  <c r="AI47" i="35"/>
  <c r="AI34" i="35"/>
  <c r="AI37" i="35" s="1"/>
  <c r="AQ47" i="35"/>
  <c r="AQ34" i="35"/>
  <c r="AQ37" i="35" s="1"/>
  <c r="D47" i="41"/>
  <c r="D34" i="41"/>
  <c r="D37" i="41" s="1"/>
  <c r="L47" i="41"/>
  <c r="L34" i="41"/>
  <c r="L37" i="41" s="1"/>
  <c r="S47" i="41"/>
  <c r="S34" i="41"/>
  <c r="S37" i="41" s="1"/>
  <c r="X47" i="35"/>
  <c r="X51" i="35"/>
  <c r="X50" i="35" s="1"/>
  <c r="J47" i="35"/>
  <c r="J51" i="35"/>
  <c r="J50" i="35" s="1"/>
  <c r="AA47" i="35"/>
  <c r="AA51" i="35"/>
  <c r="AA50" i="35" s="1"/>
  <c r="P47" i="35"/>
  <c r="P51" i="35"/>
  <c r="P50" i="35" s="1"/>
  <c r="AD21" i="35"/>
  <c r="AE21" i="35"/>
  <c r="AE22" i="35" s="1"/>
  <c r="D21" i="35"/>
  <c r="D22" i="35" s="1"/>
  <c r="J21" i="35"/>
  <c r="B21" i="35"/>
  <c r="B22" i="35" s="1"/>
  <c r="B26" i="35" s="1"/>
  <c r="I21" i="35"/>
  <c r="I22" i="35" s="1"/>
  <c r="AA21" i="35"/>
  <c r="AA22" i="35" s="1"/>
  <c r="M21" i="35"/>
  <c r="M22" i="35" s="1"/>
  <c r="AC24" i="35"/>
  <c r="E23" i="35"/>
  <c r="L23" i="35"/>
  <c r="D30" i="39"/>
  <c r="I23" i="35"/>
  <c r="I25" i="35" s="1"/>
  <c r="I27" i="35" s="1"/>
  <c r="L30" i="39"/>
  <c r="N23" i="35"/>
  <c r="N30" i="39"/>
  <c r="U30" i="42"/>
  <c r="J23" i="35"/>
  <c r="K23" i="35"/>
  <c r="M23" i="35"/>
  <c r="R23" i="35"/>
  <c r="T23" i="35"/>
  <c r="S23" i="35"/>
  <c r="Q64" i="41"/>
  <c r="T57" i="42"/>
  <c r="P23" i="42"/>
  <c r="P23" i="35"/>
  <c r="AC24" i="34"/>
  <c r="Q23" i="35"/>
  <c r="R24" i="34"/>
  <c r="Z23" i="35"/>
  <c r="AA51" i="34"/>
  <c r="AA50" i="34" s="1"/>
  <c r="T24" i="34"/>
  <c r="U23" i="35"/>
  <c r="AD23" i="35"/>
  <c r="G23" i="42"/>
  <c r="Q57" i="41"/>
  <c r="T61" i="42"/>
  <c r="Q23" i="42"/>
  <c r="V24" i="34"/>
  <c r="W23" i="35"/>
  <c r="AF23" i="35"/>
  <c r="AN23" i="35"/>
  <c r="K30" i="39"/>
  <c r="AP23" i="35"/>
  <c r="M30" i="39"/>
  <c r="AC23" i="35"/>
  <c r="AE23" i="35"/>
  <c r="AF24" i="31"/>
  <c r="AK23" i="35"/>
  <c r="J23" i="42"/>
  <c r="O23" i="42"/>
  <c r="I30" i="42"/>
  <c r="E30" i="39"/>
  <c r="L47" i="34"/>
  <c r="L51" i="34"/>
  <c r="L50" i="34" s="1"/>
  <c r="J47" i="42"/>
  <c r="J48" i="42"/>
  <c r="J43" i="42"/>
  <c r="J39" i="42"/>
  <c r="J46" i="42"/>
  <c r="J42" i="42"/>
  <c r="J45" i="42"/>
  <c r="J41" i="42"/>
  <c r="J44" i="42"/>
  <c r="J40" i="42"/>
  <c r="AO47" i="34"/>
  <c r="AO48" i="34"/>
  <c r="K47" i="42"/>
  <c r="K46" i="42"/>
  <c r="K42" i="42"/>
  <c r="K48" i="42"/>
  <c r="K45" i="42"/>
  <c r="K41" i="42"/>
  <c r="K39" i="42"/>
  <c r="K44" i="42"/>
  <c r="K40" i="42"/>
  <c r="K43" i="42"/>
  <c r="W47" i="31"/>
  <c r="W41" i="31"/>
  <c r="W44" i="31"/>
  <c r="W48" i="31"/>
  <c r="W39" i="31"/>
  <c r="W42" i="31"/>
  <c r="W45" i="31"/>
  <c r="W40" i="31"/>
  <c r="W43" i="31"/>
  <c r="W46" i="31"/>
  <c r="V47" i="31"/>
  <c r="V41" i="31"/>
  <c r="V39" i="31"/>
  <c r="V44" i="31"/>
  <c r="V48" i="31"/>
  <c r="V42" i="31"/>
  <c r="V45" i="31"/>
  <c r="V40" i="31"/>
  <c r="V46" i="31"/>
  <c r="V43" i="31"/>
  <c r="E47" i="39"/>
  <c r="E44" i="39"/>
  <c r="E39" i="39"/>
  <c r="E45" i="39"/>
  <c r="E40" i="39"/>
  <c r="E46" i="39"/>
  <c r="E41" i="39"/>
  <c r="E48" i="39"/>
  <c r="E42" i="39"/>
  <c r="E43" i="39"/>
  <c r="E51" i="39"/>
  <c r="E50" i="39" s="1"/>
  <c r="L21" i="41"/>
  <c r="O21" i="41"/>
  <c r="O22" i="41" s="1"/>
  <c r="C47" i="31"/>
  <c r="C43" i="31"/>
  <c r="C46" i="31"/>
  <c r="C41" i="31"/>
  <c r="C40" i="31"/>
  <c r="C44" i="31"/>
  <c r="C39" i="31"/>
  <c r="C48" i="31"/>
  <c r="C42" i="31"/>
  <c r="C45" i="31"/>
  <c r="C51" i="31"/>
  <c r="C50" i="31" s="1"/>
  <c r="O47" i="31"/>
  <c r="O45" i="31"/>
  <c r="O40" i="31"/>
  <c r="O43" i="31"/>
  <c r="O46" i="31"/>
  <c r="O41" i="31"/>
  <c r="O44" i="31"/>
  <c r="O48" i="31"/>
  <c r="O39" i="31"/>
  <c r="O42" i="31"/>
  <c r="O51" i="31"/>
  <c r="O50" i="31" s="1"/>
  <c r="N47" i="31"/>
  <c r="N45" i="31"/>
  <c r="N39" i="31"/>
  <c r="N40" i="31"/>
  <c r="N42" i="31"/>
  <c r="N43" i="31"/>
  <c r="N46" i="31"/>
  <c r="N41" i="31"/>
  <c r="N44" i="31"/>
  <c r="N48" i="31"/>
  <c r="N51" i="31"/>
  <c r="N50" i="31" s="1"/>
  <c r="N47" i="34"/>
  <c r="N51" i="34"/>
  <c r="N50" i="34" s="1"/>
  <c r="M47" i="34"/>
  <c r="M51" i="34"/>
  <c r="M50" i="34" s="1"/>
  <c r="AI47" i="31"/>
  <c r="AI43" i="31"/>
  <c r="AI46" i="31"/>
  <c r="AI41" i="31"/>
  <c r="AI44" i="31"/>
  <c r="AI39" i="31"/>
  <c r="AI48" i="31"/>
  <c r="AI42" i="31"/>
  <c r="AI40" i="31"/>
  <c r="AI45" i="31"/>
  <c r="J47" i="31"/>
  <c r="J48" i="31"/>
  <c r="J39" i="31"/>
  <c r="J42" i="31"/>
  <c r="J45" i="31"/>
  <c r="J40" i="31"/>
  <c r="J43" i="31"/>
  <c r="J46" i="31"/>
  <c r="J41" i="31"/>
  <c r="J44" i="31"/>
  <c r="Z30" i="34"/>
  <c r="AH47" i="31"/>
  <c r="AH43" i="31"/>
  <c r="AH46" i="31"/>
  <c r="AH41" i="31"/>
  <c r="AH44" i="31"/>
  <c r="AH48" i="31"/>
  <c r="AH39" i="31"/>
  <c r="AH40" i="31"/>
  <c r="AH42" i="31"/>
  <c r="AH45" i="31"/>
  <c r="U47" i="31"/>
  <c r="U46" i="31"/>
  <c r="U41" i="31"/>
  <c r="U44" i="31"/>
  <c r="U48" i="31"/>
  <c r="U39" i="31"/>
  <c r="U42" i="31"/>
  <c r="U45" i="31"/>
  <c r="U40" i="31"/>
  <c r="U43" i="31"/>
  <c r="I47" i="31"/>
  <c r="I44" i="31"/>
  <c r="I48" i="31"/>
  <c r="I39" i="31"/>
  <c r="I42" i="31"/>
  <c r="I45" i="31"/>
  <c r="I40" i="31"/>
  <c r="I43" i="31"/>
  <c r="I46" i="31"/>
  <c r="I41" i="31"/>
  <c r="M47" i="39"/>
  <c r="M41" i="39"/>
  <c r="M48" i="39"/>
  <c r="M42" i="39"/>
  <c r="M43" i="39"/>
  <c r="M44" i="39"/>
  <c r="M39" i="39"/>
  <c r="M45" i="39"/>
  <c r="M40" i="39"/>
  <c r="M46" i="39"/>
  <c r="D30" i="31"/>
  <c r="N30" i="34"/>
  <c r="AG47" i="31"/>
  <c r="AG40" i="31"/>
  <c r="AG43" i="31"/>
  <c r="AG46" i="31"/>
  <c r="AG41" i="31"/>
  <c r="AG44" i="31"/>
  <c r="AG48" i="31"/>
  <c r="AG39" i="31"/>
  <c r="AG42" i="31"/>
  <c r="AG45" i="31"/>
  <c r="H47" i="31"/>
  <c r="H39" i="31"/>
  <c r="H44" i="31"/>
  <c r="H48" i="31"/>
  <c r="H41" i="31"/>
  <c r="H42" i="31"/>
  <c r="H45" i="31"/>
  <c r="H40" i="31"/>
  <c r="H43" i="31"/>
  <c r="H46" i="31"/>
  <c r="L47" i="42"/>
  <c r="L46" i="42"/>
  <c r="L42" i="42"/>
  <c r="L45" i="42"/>
  <c r="L41" i="42"/>
  <c r="L44" i="42"/>
  <c r="L40" i="42"/>
  <c r="L48" i="42"/>
  <c r="L43" i="42"/>
  <c r="L39" i="42"/>
  <c r="N47" i="39"/>
  <c r="N48" i="39"/>
  <c r="N42" i="39"/>
  <c r="N43" i="39"/>
  <c r="N44" i="39"/>
  <c r="N39" i="39"/>
  <c r="N45" i="39"/>
  <c r="N40" i="39"/>
  <c r="N46" i="39"/>
  <c r="N41" i="39"/>
  <c r="H30" i="31"/>
  <c r="H30" i="34"/>
  <c r="AF47" i="31"/>
  <c r="AF40" i="31"/>
  <c r="AF43" i="31"/>
  <c r="AF46" i="31"/>
  <c r="AF45" i="31"/>
  <c r="AF41" i="31"/>
  <c r="AF44" i="31"/>
  <c r="AF48" i="31"/>
  <c r="AF39" i="31"/>
  <c r="AF42" i="31"/>
  <c r="T47" i="31"/>
  <c r="T46" i="31"/>
  <c r="T41" i="31"/>
  <c r="T44" i="31"/>
  <c r="T48" i="31"/>
  <c r="T39" i="31"/>
  <c r="T42" i="31"/>
  <c r="T43" i="31"/>
  <c r="T40" i="31"/>
  <c r="T45" i="31"/>
  <c r="G47" i="31"/>
  <c r="G41" i="31"/>
  <c r="G39" i="31"/>
  <c r="G44" i="31"/>
  <c r="G48" i="31"/>
  <c r="G42" i="31"/>
  <c r="G45" i="31"/>
  <c r="G40" i="31"/>
  <c r="G43" i="31"/>
  <c r="G46" i="31"/>
  <c r="M47" i="42"/>
  <c r="M46" i="42"/>
  <c r="M42" i="42"/>
  <c r="M45" i="42"/>
  <c r="M41" i="42"/>
  <c r="M44" i="42"/>
  <c r="M40" i="42"/>
  <c r="M48" i="42"/>
  <c r="M43" i="42"/>
  <c r="M39" i="42"/>
  <c r="C30" i="31"/>
  <c r="F30" i="34"/>
  <c r="AE47" i="31"/>
  <c r="AE45" i="31"/>
  <c r="AE40" i="31"/>
  <c r="AE43" i="31"/>
  <c r="AE46" i="31"/>
  <c r="AE41" i="31"/>
  <c r="AE44" i="31"/>
  <c r="AE48" i="31"/>
  <c r="AE39" i="31"/>
  <c r="AE42" i="31"/>
  <c r="S47" i="31"/>
  <c r="S43" i="31"/>
  <c r="S46" i="31"/>
  <c r="S40" i="31"/>
  <c r="S41" i="31"/>
  <c r="S44" i="31"/>
  <c r="S48" i="31"/>
  <c r="S39" i="31"/>
  <c r="S42" i="31"/>
  <c r="S45" i="31"/>
  <c r="F47" i="31"/>
  <c r="F41" i="31"/>
  <c r="F44" i="31"/>
  <c r="F46" i="31"/>
  <c r="F48" i="31"/>
  <c r="F39" i="31"/>
  <c r="F42" i="31"/>
  <c r="F45" i="31"/>
  <c r="F40" i="31"/>
  <c r="F43" i="31"/>
  <c r="G47" i="42"/>
  <c r="G48" i="42"/>
  <c r="G43" i="42"/>
  <c r="G39" i="42"/>
  <c r="G46" i="42"/>
  <c r="G42" i="42"/>
  <c r="G44" i="42"/>
  <c r="G45" i="42"/>
  <c r="G41" i="42"/>
  <c r="G40" i="42"/>
  <c r="N47" i="42"/>
  <c r="N46" i="42"/>
  <c r="N42" i="42"/>
  <c r="N45" i="42"/>
  <c r="N41" i="42"/>
  <c r="N44" i="42"/>
  <c r="N40" i="42"/>
  <c r="N48" i="42"/>
  <c r="N43" i="42"/>
  <c r="N39" i="42"/>
  <c r="AH24" i="34"/>
  <c r="Z30" i="31"/>
  <c r="I30" i="31"/>
  <c r="D30" i="34"/>
  <c r="AD47" i="31"/>
  <c r="AD45" i="31"/>
  <c r="AD40" i="31"/>
  <c r="AD43" i="31"/>
  <c r="AD46" i="31"/>
  <c r="AD39" i="31"/>
  <c r="AD41" i="31"/>
  <c r="AD44" i="31"/>
  <c r="AD42" i="31"/>
  <c r="AD48" i="31"/>
  <c r="R47" i="31"/>
  <c r="R43" i="31"/>
  <c r="R46" i="31"/>
  <c r="R41" i="31"/>
  <c r="R44" i="31"/>
  <c r="R40" i="31"/>
  <c r="R39" i="31"/>
  <c r="R48" i="31"/>
  <c r="R42" i="31"/>
  <c r="R45" i="31"/>
  <c r="H47" i="42"/>
  <c r="H48" i="42"/>
  <c r="H43" i="42"/>
  <c r="H39" i="42"/>
  <c r="H46" i="42"/>
  <c r="H42" i="42"/>
  <c r="H45" i="42"/>
  <c r="H41" i="42"/>
  <c r="H44" i="42"/>
  <c r="H40" i="42"/>
  <c r="O47" i="42"/>
  <c r="O45" i="42"/>
  <c r="O41" i="42"/>
  <c r="O44" i="42"/>
  <c r="O40" i="42"/>
  <c r="O46" i="42"/>
  <c r="O48" i="42"/>
  <c r="O43" i="42"/>
  <c r="O39" i="42"/>
  <c r="O42" i="42"/>
  <c r="B47" i="39"/>
  <c r="B43" i="39"/>
  <c r="B44" i="39"/>
  <c r="B39" i="39"/>
  <c r="B45" i="39"/>
  <c r="B40" i="39"/>
  <c r="B46" i="39"/>
  <c r="B41" i="39"/>
  <c r="B48" i="39"/>
  <c r="B42" i="39"/>
  <c r="B30" i="34"/>
  <c r="AQ47" i="31"/>
  <c r="AQ48" i="31"/>
  <c r="AQ39" i="31"/>
  <c r="AQ42" i="31"/>
  <c r="AQ45" i="31"/>
  <c r="AQ40" i="31"/>
  <c r="AQ43" i="31"/>
  <c r="AQ46" i="31"/>
  <c r="AQ41" i="31"/>
  <c r="AQ44" i="31"/>
  <c r="AC47" i="31"/>
  <c r="AC42" i="31"/>
  <c r="AC45" i="31"/>
  <c r="AC40" i="31"/>
  <c r="AC43" i="31"/>
  <c r="AC46" i="31"/>
  <c r="AC41" i="31"/>
  <c r="AC44" i="31"/>
  <c r="AC48" i="31"/>
  <c r="AC39" i="31"/>
  <c r="Q47" i="31"/>
  <c r="Q40" i="31"/>
  <c r="Q43" i="31"/>
  <c r="Q46" i="31"/>
  <c r="Q41" i="31"/>
  <c r="Q44" i="31"/>
  <c r="Q48" i="31"/>
  <c r="Q39" i="31"/>
  <c r="Q42" i="31"/>
  <c r="Q45" i="31"/>
  <c r="E47" i="31"/>
  <c r="E46" i="31"/>
  <c r="E41" i="31"/>
  <c r="E44" i="31"/>
  <c r="E48" i="31"/>
  <c r="E39" i="31"/>
  <c r="E42" i="31"/>
  <c r="E45" i="31"/>
  <c r="E40" i="31"/>
  <c r="E43" i="31"/>
  <c r="Z51" i="34"/>
  <c r="Z50" i="34" s="1"/>
  <c r="Z47" i="34"/>
  <c r="P47" i="42"/>
  <c r="P45" i="42"/>
  <c r="P41" i="42"/>
  <c r="P44" i="42"/>
  <c r="P40" i="42"/>
  <c r="P48" i="42"/>
  <c r="P43" i="42"/>
  <c r="P39" i="42"/>
  <c r="P46" i="42"/>
  <c r="P42" i="42"/>
  <c r="C47" i="39"/>
  <c r="C44" i="39"/>
  <c r="C39" i="39"/>
  <c r="C45" i="39"/>
  <c r="C40" i="39"/>
  <c r="C46" i="39"/>
  <c r="C41" i="39"/>
  <c r="C43" i="39"/>
  <c r="C48" i="39"/>
  <c r="C42" i="39"/>
  <c r="AO23" i="34"/>
  <c r="AD24" i="34"/>
  <c r="AF24" i="34"/>
  <c r="S24" i="34"/>
  <c r="AB21" i="35"/>
  <c r="AB22" i="35" s="1"/>
  <c r="U24" i="34"/>
  <c r="AL24" i="34"/>
  <c r="T23" i="41"/>
  <c r="B23" i="42"/>
  <c r="R61" i="42"/>
  <c r="S23" i="42"/>
  <c r="F30" i="39"/>
  <c r="AQ30" i="34"/>
  <c r="AB47" i="31"/>
  <c r="AB42" i="31"/>
  <c r="AB45" i="31"/>
  <c r="AB40" i="31"/>
  <c r="AB43" i="31"/>
  <c r="AB48" i="31"/>
  <c r="AB46" i="31"/>
  <c r="AB41" i="31"/>
  <c r="AB39" i="31"/>
  <c r="AB44" i="31"/>
  <c r="D47" i="31"/>
  <c r="D40" i="31"/>
  <c r="D46" i="31"/>
  <c r="D43" i="31"/>
  <c r="D41" i="31"/>
  <c r="D44" i="31"/>
  <c r="D48" i="31"/>
  <c r="D39" i="31"/>
  <c r="D42" i="31"/>
  <c r="D45" i="31"/>
  <c r="Q47" i="42"/>
  <c r="Q45" i="42"/>
  <c r="Q41" i="42"/>
  <c r="Q44" i="42"/>
  <c r="Q40" i="42"/>
  <c r="Q48" i="42"/>
  <c r="Q43" i="42"/>
  <c r="Q39" i="42"/>
  <c r="Q46" i="42"/>
  <c r="Q42" i="42"/>
  <c r="D47" i="39"/>
  <c r="D44" i="39"/>
  <c r="D39" i="39"/>
  <c r="D45" i="39"/>
  <c r="D40" i="39"/>
  <c r="D46" i="39"/>
  <c r="D41" i="39"/>
  <c r="D48" i="39"/>
  <c r="D42" i="39"/>
  <c r="D43" i="39"/>
  <c r="AN21" i="35"/>
  <c r="AJ24" i="34"/>
  <c r="T21" i="35"/>
  <c r="T22" i="35" s="1"/>
  <c r="W24" i="34"/>
  <c r="AN24" i="34"/>
  <c r="E51" i="35"/>
  <c r="E50" i="35" s="1"/>
  <c r="R23" i="41"/>
  <c r="D23" i="42"/>
  <c r="R62" i="42"/>
  <c r="S57" i="42"/>
  <c r="AA30" i="34"/>
  <c r="B47" i="31"/>
  <c r="B43" i="31"/>
  <c r="B46" i="31"/>
  <c r="B41" i="31"/>
  <c r="B40" i="31"/>
  <c r="B44" i="31"/>
  <c r="B48" i="31"/>
  <c r="B39" i="31"/>
  <c r="B42" i="31"/>
  <c r="B45" i="31"/>
  <c r="AA47" i="31"/>
  <c r="AA48" i="31"/>
  <c r="AA39" i="31"/>
  <c r="AA42" i="31"/>
  <c r="AA45" i="31"/>
  <c r="AA40" i="31"/>
  <c r="AA43" i="31"/>
  <c r="AA46" i="31"/>
  <c r="AA41" i="31"/>
  <c r="AA44" i="31"/>
  <c r="P47" i="31"/>
  <c r="P45" i="31"/>
  <c r="P40" i="31"/>
  <c r="P43" i="31"/>
  <c r="P39" i="31"/>
  <c r="P46" i="31"/>
  <c r="P42" i="31"/>
  <c r="P41" i="31"/>
  <c r="P44" i="31"/>
  <c r="P48" i="31"/>
  <c r="B47" i="42"/>
  <c r="B45" i="42"/>
  <c r="B41" i="42"/>
  <c r="B44" i="42"/>
  <c r="B40" i="42"/>
  <c r="B48" i="42"/>
  <c r="B43" i="42"/>
  <c r="B39" i="42"/>
  <c r="B46" i="42"/>
  <c r="B42" i="42"/>
  <c r="R47" i="42"/>
  <c r="R45" i="42"/>
  <c r="R41" i="42"/>
  <c r="R44" i="42"/>
  <c r="R40" i="42"/>
  <c r="R48" i="42"/>
  <c r="R43" i="42"/>
  <c r="R39" i="42"/>
  <c r="R46" i="42"/>
  <c r="R42" i="42"/>
  <c r="Y30" i="34"/>
  <c r="AP47" i="31"/>
  <c r="AP48" i="31"/>
  <c r="AP39" i="31"/>
  <c r="AP42" i="31"/>
  <c r="AP45" i="31"/>
  <c r="AP40" i="31"/>
  <c r="AP41" i="31"/>
  <c r="AP43" i="31"/>
  <c r="AP44" i="31"/>
  <c r="AP46" i="31"/>
  <c r="Z47" i="31"/>
  <c r="Z48" i="31"/>
  <c r="Z39" i="31"/>
  <c r="Z42" i="31"/>
  <c r="Z45" i="31"/>
  <c r="Z41" i="31"/>
  <c r="Z40" i="31"/>
  <c r="Z44" i="31"/>
  <c r="Z43" i="31"/>
  <c r="Z46" i="31"/>
  <c r="C47" i="42"/>
  <c r="C44" i="42"/>
  <c r="C40" i="42"/>
  <c r="C45" i="42"/>
  <c r="C48" i="42"/>
  <c r="C43" i="42"/>
  <c r="C39" i="42"/>
  <c r="C46" i="42"/>
  <c r="C42" i="42"/>
  <c r="C41" i="42"/>
  <c r="S47" i="42"/>
  <c r="S44" i="42"/>
  <c r="S40" i="42"/>
  <c r="S45" i="42"/>
  <c r="S48" i="42"/>
  <c r="S43" i="42"/>
  <c r="S39" i="42"/>
  <c r="S46" i="42"/>
  <c r="S42" i="42"/>
  <c r="S41" i="42"/>
  <c r="O30" i="34"/>
  <c r="AO47" i="31"/>
  <c r="AO44" i="31"/>
  <c r="AO48" i="31"/>
  <c r="AO39" i="31"/>
  <c r="AO42" i="31"/>
  <c r="AO45" i="31"/>
  <c r="AO40" i="31"/>
  <c r="AO43" i="31"/>
  <c r="AO46" i="31"/>
  <c r="AO41" i="31"/>
  <c r="Y47" i="31"/>
  <c r="Y44" i="31"/>
  <c r="Y48" i="31"/>
  <c r="Y39" i="31"/>
  <c r="Y42" i="31"/>
  <c r="Y45" i="31"/>
  <c r="Y40" i="31"/>
  <c r="Y43" i="31"/>
  <c r="Y46" i="31"/>
  <c r="Y41" i="31"/>
  <c r="D47" i="42"/>
  <c r="D44" i="42"/>
  <c r="D40" i="42"/>
  <c r="D48" i="42"/>
  <c r="D43" i="42"/>
  <c r="D39" i="42"/>
  <c r="D46" i="42"/>
  <c r="D42" i="42"/>
  <c r="D45" i="42"/>
  <c r="D41" i="42"/>
  <c r="T47" i="42"/>
  <c r="T44" i="42"/>
  <c r="T40" i="42"/>
  <c r="T48" i="42"/>
  <c r="T43" i="42"/>
  <c r="T39" i="42"/>
  <c r="T46" i="42"/>
  <c r="T42" i="42"/>
  <c r="T45" i="42"/>
  <c r="T41" i="42"/>
  <c r="F47" i="39"/>
  <c r="F39" i="39"/>
  <c r="F44" i="39"/>
  <c r="F45" i="39"/>
  <c r="F40" i="39"/>
  <c r="F46" i="39"/>
  <c r="F41" i="39"/>
  <c r="F48" i="39"/>
  <c r="F42" i="39"/>
  <c r="F43" i="39"/>
  <c r="AE24" i="34"/>
  <c r="AG24" i="34"/>
  <c r="M30" i="42"/>
  <c r="N30" i="42"/>
  <c r="I30" i="34"/>
  <c r="AN47" i="31"/>
  <c r="AN44" i="31"/>
  <c r="AN39" i="31"/>
  <c r="AN48" i="31"/>
  <c r="AN42" i="31"/>
  <c r="AN45" i="31"/>
  <c r="AN40" i="31"/>
  <c r="AN43" i="31"/>
  <c r="AN41" i="31"/>
  <c r="AN46" i="31"/>
  <c r="E47" i="42"/>
  <c r="E44" i="42"/>
  <c r="E40" i="42"/>
  <c r="E48" i="42"/>
  <c r="E43" i="42"/>
  <c r="E39" i="42"/>
  <c r="E46" i="42"/>
  <c r="E42" i="42"/>
  <c r="E45" i="42"/>
  <c r="E41" i="42"/>
  <c r="U47" i="42"/>
  <c r="U44" i="42"/>
  <c r="U40" i="42"/>
  <c r="U48" i="42"/>
  <c r="U43" i="42"/>
  <c r="U39" i="42"/>
  <c r="U46" i="42"/>
  <c r="U42" i="42"/>
  <c r="U45" i="42"/>
  <c r="U41" i="42"/>
  <c r="G47" i="39"/>
  <c r="G45" i="39"/>
  <c r="G40" i="39"/>
  <c r="G46" i="39"/>
  <c r="G41" i="39"/>
  <c r="G48" i="39"/>
  <c r="G42" i="39"/>
  <c r="G43" i="39"/>
  <c r="G39" i="39"/>
  <c r="G44" i="39"/>
  <c r="G30" i="34"/>
  <c r="AM47" i="31"/>
  <c r="AM41" i="31"/>
  <c r="AM39" i="31"/>
  <c r="AM44" i="31"/>
  <c r="AM48" i="31"/>
  <c r="AM42" i="31"/>
  <c r="AM45" i="31"/>
  <c r="AM40" i="31"/>
  <c r="AM43" i="31"/>
  <c r="AM46" i="31"/>
  <c r="X47" i="31"/>
  <c r="X44" i="31"/>
  <c r="X39" i="31"/>
  <c r="X48" i="31"/>
  <c r="X42" i="31"/>
  <c r="X41" i="31"/>
  <c r="X45" i="31"/>
  <c r="X40" i="31"/>
  <c r="X43" i="31"/>
  <c r="X46" i="31"/>
  <c r="F47" i="42"/>
  <c r="F44" i="42"/>
  <c r="F40" i="42"/>
  <c r="F48" i="42"/>
  <c r="F43" i="42"/>
  <c r="F39" i="42"/>
  <c r="F46" i="42"/>
  <c r="F42" i="42"/>
  <c r="F45" i="42"/>
  <c r="F41" i="42"/>
  <c r="H47" i="39"/>
  <c r="H45" i="39"/>
  <c r="H40" i="39"/>
  <c r="H46" i="39"/>
  <c r="H41" i="39"/>
  <c r="H48" i="39"/>
  <c r="H42" i="39"/>
  <c r="H43" i="39"/>
  <c r="H44" i="39"/>
  <c r="H39" i="39"/>
  <c r="L47" i="39"/>
  <c r="L41" i="39"/>
  <c r="L48" i="39"/>
  <c r="L46" i="39"/>
  <c r="L42" i="39"/>
  <c r="L43" i="39"/>
  <c r="L44" i="39"/>
  <c r="L39" i="39"/>
  <c r="L45" i="39"/>
  <c r="L40" i="39"/>
  <c r="AI24" i="34"/>
  <c r="O21" i="35"/>
  <c r="O22" i="35" s="1"/>
  <c r="AK24" i="34"/>
  <c r="I23" i="34"/>
  <c r="H23" i="41"/>
  <c r="N23" i="42"/>
  <c r="T58" i="42"/>
  <c r="S54" i="42"/>
  <c r="E30" i="42"/>
  <c r="D30" i="42"/>
  <c r="C30" i="34"/>
  <c r="AL47" i="31"/>
  <c r="AL41" i="31"/>
  <c r="AL44" i="31"/>
  <c r="AL46" i="31"/>
  <c r="AL48" i="31"/>
  <c r="AL39" i="31"/>
  <c r="AL42" i="31"/>
  <c r="AL45" i="31"/>
  <c r="AL40" i="31"/>
  <c r="AL43" i="31"/>
  <c r="M47" i="31"/>
  <c r="M42" i="31"/>
  <c r="M40" i="31"/>
  <c r="M45" i="31"/>
  <c r="M43" i="31"/>
  <c r="M46" i="31"/>
  <c r="M41" i="31"/>
  <c r="M39" i="31"/>
  <c r="M44" i="31"/>
  <c r="M48" i="31"/>
  <c r="I47" i="39"/>
  <c r="I40" i="39"/>
  <c r="C110" i="39" s="1"/>
  <c r="D110" i="39" s="1"/>
  <c r="I46" i="39"/>
  <c r="C116" i="39" s="1"/>
  <c r="D116" i="39" s="1"/>
  <c r="I41" i="39"/>
  <c r="C111" i="39" s="1"/>
  <c r="D111" i="39" s="1"/>
  <c r="I48" i="39"/>
  <c r="I42" i="39"/>
  <c r="C112" i="39" s="1"/>
  <c r="D112" i="39" s="1"/>
  <c r="I45" i="39"/>
  <c r="C115" i="39" s="1"/>
  <c r="D115" i="39" s="1"/>
  <c r="I43" i="39"/>
  <c r="C113" i="39" s="1"/>
  <c r="D113" i="39" s="1"/>
  <c r="I44" i="39"/>
  <c r="C114" i="39" s="1"/>
  <c r="I39" i="39"/>
  <c r="F23" i="34"/>
  <c r="Z23" i="34"/>
  <c r="J51" i="34"/>
  <c r="J50" i="34" s="1"/>
  <c r="AL23" i="34"/>
  <c r="AQ23" i="34"/>
  <c r="AH21" i="35"/>
  <c r="AH22" i="35" s="1"/>
  <c r="AM24" i="34"/>
  <c r="Q23" i="34"/>
  <c r="F23" i="41"/>
  <c r="O59" i="41"/>
  <c r="T59" i="42"/>
  <c r="S56" i="42"/>
  <c r="C30" i="42"/>
  <c r="AB30" i="35"/>
  <c r="AK47" i="31"/>
  <c r="AK46" i="31"/>
  <c r="AK41" i="31"/>
  <c r="AK44" i="31"/>
  <c r="AK48" i="31"/>
  <c r="AK39" i="31"/>
  <c r="AK42" i="31"/>
  <c r="AK45" i="31"/>
  <c r="AK40" i="31"/>
  <c r="AK43" i="31"/>
  <c r="L47" i="31"/>
  <c r="L42" i="31"/>
  <c r="L45" i="31"/>
  <c r="L39" i="31"/>
  <c r="L40" i="31"/>
  <c r="L48" i="31"/>
  <c r="L43" i="31"/>
  <c r="L46" i="31"/>
  <c r="L41" i="31"/>
  <c r="L44" i="31"/>
  <c r="J47" i="39"/>
  <c r="J46" i="39"/>
  <c r="J41" i="39"/>
  <c r="J48" i="39"/>
  <c r="J42" i="39"/>
  <c r="J40" i="39"/>
  <c r="J43" i="39"/>
  <c r="J44" i="39"/>
  <c r="J39" i="39"/>
  <c r="J45" i="39"/>
  <c r="S21" i="35"/>
  <c r="Z21" i="35"/>
  <c r="Z22" i="35" s="1"/>
  <c r="S23" i="34"/>
  <c r="D23" i="41"/>
  <c r="G23" i="41"/>
  <c r="F30" i="41"/>
  <c r="AJ47" i="31"/>
  <c r="AJ46" i="31"/>
  <c r="AJ43" i="31"/>
  <c r="AJ41" i="31"/>
  <c r="AJ44" i="31"/>
  <c r="AJ48" i="31"/>
  <c r="AJ39" i="31"/>
  <c r="AJ42" i="31"/>
  <c r="AJ40" i="31"/>
  <c r="AJ45" i="31"/>
  <c r="K47" i="31"/>
  <c r="K48" i="31"/>
  <c r="K39" i="31"/>
  <c r="K42" i="31"/>
  <c r="K45" i="31"/>
  <c r="K40" i="31"/>
  <c r="K43" i="31"/>
  <c r="K46" i="31"/>
  <c r="K41" i="31"/>
  <c r="K44" i="31"/>
  <c r="I47" i="42"/>
  <c r="I48" i="42"/>
  <c r="I43" i="42"/>
  <c r="I39" i="42"/>
  <c r="I46" i="42"/>
  <c r="I42" i="42"/>
  <c r="I45" i="42"/>
  <c r="I41" i="42"/>
  <c r="I44" i="42"/>
  <c r="I40" i="42"/>
  <c r="K47" i="39"/>
  <c r="K46" i="39"/>
  <c r="K41" i="39"/>
  <c r="K48" i="39"/>
  <c r="K42" i="39"/>
  <c r="K43" i="39"/>
  <c r="K44" i="39"/>
  <c r="K39" i="39"/>
  <c r="K45" i="39"/>
  <c r="K40" i="39"/>
  <c r="AI24" i="35"/>
  <c r="AE24" i="35"/>
  <c r="AG24" i="35"/>
  <c r="AO24" i="35"/>
  <c r="T24" i="35"/>
  <c r="T25" i="35" s="1"/>
  <c r="T27" i="35" s="1"/>
  <c r="V24" i="35"/>
  <c r="AD24" i="35"/>
  <c r="AN24" i="35"/>
  <c r="AN25" i="35" s="1"/>
  <c r="AN27" i="35" s="1"/>
  <c r="AJ24" i="35"/>
  <c r="AP24" i="35"/>
  <c r="B23" i="35"/>
  <c r="AL24" i="35"/>
  <c r="S24" i="35"/>
  <c r="F23" i="35"/>
  <c r="U24" i="35"/>
  <c r="H23" i="35"/>
  <c r="AH24" i="35"/>
  <c r="W24" i="35"/>
  <c r="C21" i="39"/>
  <c r="G21" i="39"/>
  <c r="H21" i="39"/>
  <c r="H22" i="39" s="1"/>
  <c r="G24" i="39"/>
  <c r="I24" i="39"/>
  <c r="H24" i="39"/>
  <c r="F51" i="39"/>
  <c r="F50" i="39" s="1"/>
  <c r="N23" i="39"/>
  <c r="B51" i="42"/>
  <c r="B50" i="42" s="1"/>
  <c r="D51" i="42"/>
  <c r="D50" i="42" s="1"/>
  <c r="Q64" i="42"/>
  <c r="P54" i="42"/>
  <c r="Q65" i="42"/>
  <c r="P56" i="42"/>
  <c r="P57" i="42"/>
  <c r="P58" i="42"/>
  <c r="O59" i="42"/>
  <c r="Q18" i="42"/>
  <c r="P59" i="42"/>
  <c r="P60" i="42"/>
  <c r="P61" i="42"/>
  <c r="Q54" i="42"/>
  <c r="P62" i="42"/>
  <c r="Q56" i="42"/>
  <c r="P63" i="42"/>
  <c r="Q57" i="42"/>
  <c r="Q63" i="42"/>
  <c r="P18" i="42"/>
  <c r="P64" i="42"/>
  <c r="Q58" i="42"/>
  <c r="Q59" i="42"/>
  <c r="Q60" i="42"/>
  <c r="M51" i="42"/>
  <c r="M50" i="42" s="1"/>
  <c r="C51" i="42"/>
  <c r="C50" i="42" s="1"/>
  <c r="E51" i="42"/>
  <c r="E50" i="42" s="1"/>
  <c r="F51" i="42"/>
  <c r="F50" i="42" s="1"/>
  <c r="U51" i="42"/>
  <c r="U50" i="42" s="1"/>
  <c r="I51" i="42"/>
  <c r="I50" i="42" s="1"/>
  <c r="O62" i="42"/>
  <c r="O64" i="42"/>
  <c r="N51" i="42"/>
  <c r="N50" i="42" s="1"/>
  <c r="O63" i="42"/>
  <c r="O54" i="42"/>
  <c r="O57" i="42"/>
  <c r="O58" i="42"/>
  <c r="O60" i="42"/>
  <c r="O61" i="42"/>
  <c r="O65" i="42"/>
  <c r="O18" i="42"/>
  <c r="G21" i="41"/>
  <c r="G22" i="41" s="1"/>
  <c r="H21" i="41"/>
  <c r="H22" i="41" s="1"/>
  <c r="P21" i="41"/>
  <c r="P22" i="41" s="1"/>
  <c r="F21" i="41"/>
  <c r="R56" i="41"/>
  <c r="T56" i="41"/>
  <c r="R65" i="41"/>
  <c r="R21" i="41"/>
  <c r="R22" i="41" s="1"/>
  <c r="J21" i="41"/>
  <c r="J22" i="41" s="1"/>
  <c r="Q21" i="41"/>
  <c r="B21" i="41"/>
  <c r="B22" i="41" s="1"/>
  <c r="B26" i="41" s="1"/>
  <c r="U21" i="41"/>
  <c r="M21" i="41"/>
  <c r="M22" i="41" s="1"/>
  <c r="M26" i="41" s="1"/>
  <c r="T63" i="41"/>
  <c r="E21" i="41"/>
  <c r="E22" i="41" s="1"/>
  <c r="T21" i="41"/>
  <c r="T22" i="41" s="1"/>
  <c r="I21" i="41"/>
  <c r="S21" i="41"/>
  <c r="G43" i="41"/>
  <c r="G39" i="41"/>
  <c r="G48" i="41"/>
  <c r="G44" i="41"/>
  <c r="G46" i="41"/>
  <c r="G42" i="41"/>
  <c r="G40" i="41"/>
  <c r="G45" i="41"/>
  <c r="G41" i="41"/>
  <c r="C48" i="41"/>
  <c r="C44" i="41"/>
  <c r="C40" i="41"/>
  <c r="C43" i="41"/>
  <c r="C39" i="41"/>
  <c r="C46" i="41"/>
  <c r="C42" i="41"/>
  <c r="C41" i="41"/>
  <c r="C45" i="41"/>
  <c r="H44" i="41"/>
  <c r="H43" i="41"/>
  <c r="H39" i="41"/>
  <c r="H40" i="41"/>
  <c r="H46" i="41"/>
  <c r="H42" i="41"/>
  <c r="H45" i="41"/>
  <c r="H41" i="41"/>
  <c r="H48" i="41"/>
  <c r="J43" i="41"/>
  <c r="J46" i="41"/>
  <c r="J42" i="41"/>
  <c r="J39" i="41"/>
  <c r="J45" i="41"/>
  <c r="J41" i="41"/>
  <c r="J48" i="41"/>
  <c r="J44" i="41"/>
  <c r="J40" i="41"/>
  <c r="K43" i="41"/>
  <c r="K46" i="41"/>
  <c r="K42" i="41"/>
  <c r="K45" i="41"/>
  <c r="K41" i="41"/>
  <c r="K39" i="41"/>
  <c r="K48" i="41"/>
  <c r="K44" i="41"/>
  <c r="K40" i="41"/>
  <c r="S54" i="41"/>
  <c r="L46" i="41"/>
  <c r="L42" i="41"/>
  <c r="L39" i="41"/>
  <c r="L45" i="41"/>
  <c r="L41" i="41"/>
  <c r="L48" i="41"/>
  <c r="L44" i="41"/>
  <c r="L40" i="41"/>
  <c r="L43" i="41"/>
  <c r="I43" i="41"/>
  <c r="I39" i="41"/>
  <c r="I46" i="41"/>
  <c r="I42" i="41"/>
  <c r="I45" i="41"/>
  <c r="I41" i="41"/>
  <c r="I48" i="41"/>
  <c r="I44" i="41"/>
  <c r="I40" i="41"/>
  <c r="S61" i="41"/>
  <c r="M46" i="41"/>
  <c r="M42" i="41"/>
  <c r="M45" i="41"/>
  <c r="M41" i="41"/>
  <c r="M48" i="41"/>
  <c r="M44" i="41"/>
  <c r="M40" i="41"/>
  <c r="M43" i="41"/>
  <c r="M39" i="41"/>
  <c r="N45" i="41"/>
  <c r="N41" i="41"/>
  <c r="N42" i="41"/>
  <c r="N48" i="41"/>
  <c r="N44" i="41"/>
  <c r="N40" i="41"/>
  <c r="N43" i="41"/>
  <c r="N39" i="41"/>
  <c r="N46" i="41"/>
  <c r="B41" i="41"/>
  <c r="B48" i="41"/>
  <c r="B44" i="41"/>
  <c r="B40" i="41"/>
  <c r="B43" i="41"/>
  <c r="B39" i="41"/>
  <c r="B45" i="41"/>
  <c r="B46" i="41"/>
  <c r="B42" i="41"/>
  <c r="O45" i="41"/>
  <c r="O41" i="41"/>
  <c r="O42" i="41"/>
  <c r="O46" i="41"/>
  <c r="O48" i="41"/>
  <c r="O44" i="41"/>
  <c r="O40" i="41"/>
  <c r="O43" i="41"/>
  <c r="O39" i="41"/>
  <c r="P45" i="41"/>
  <c r="P41" i="41"/>
  <c r="P48" i="41"/>
  <c r="P44" i="41"/>
  <c r="P40" i="41"/>
  <c r="P46" i="41"/>
  <c r="P42" i="41"/>
  <c r="P43" i="41"/>
  <c r="P39" i="41"/>
  <c r="U25" i="41"/>
  <c r="Q45" i="41"/>
  <c r="Q41" i="41"/>
  <c r="Q48" i="41"/>
  <c r="Q44" i="41"/>
  <c r="Q40" i="41"/>
  <c r="Q43" i="41"/>
  <c r="Q39" i="41"/>
  <c r="Q46" i="41"/>
  <c r="Q42" i="41"/>
  <c r="D48" i="41"/>
  <c r="D44" i="41"/>
  <c r="D40" i="41"/>
  <c r="D43" i="41"/>
  <c r="D39" i="41"/>
  <c r="D45" i="41"/>
  <c r="D46" i="41"/>
  <c r="D42" i="41"/>
  <c r="D41" i="41"/>
  <c r="R48" i="41"/>
  <c r="R44" i="41"/>
  <c r="R40" i="41"/>
  <c r="R45" i="41"/>
  <c r="R43" i="41"/>
  <c r="R39" i="41"/>
  <c r="R41" i="41"/>
  <c r="R46" i="41"/>
  <c r="R42" i="41"/>
  <c r="E48" i="41"/>
  <c r="E44" i="41"/>
  <c r="E40" i="41"/>
  <c r="E43" i="41"/>
  <c r="E39" i="41"/>
  <c r="E46" i="41"/>
  <c r="E42" i="41"/>
  <c r="E45" i="41"/>
  <c r="E41" i="41"/>
  <c r="S48" i="41"/>
  <c r="S44" i="41"/>
  <c r="S40" i="41"/>
  <c r="S43" i="41"/>
  <c r="S39" i="41"/>
  <c r="S45" i="41"/>
  <c r="S46" i="41"/>
  <c r="S42" i="41"/>
  <c r="S41" i="41"/>
  <c r="F40" i="41"/>
  <c r="F43" i="41"/>
  <c r="F39" i="41"/>
  <c r="F46" i="41"/>
  <c r="F42" i="41"/>
  <c r="F48" i="41"/>
  <c r="F45" i="41"/>
  <c r="F41" i="41"/>
  <c r="F44" i="41"/>
  <c r="T48" i="41"/>
  <c r="T44" i="41"/>
  <c r="T40" i="41"/>
  <c r="T45" i="41"/>
  <c r="T43" i="41"/>
  <c r="T39" i="41"/>
  <c r="T46" i="41"/>
  <c r="T42" i="41"/>
  <c r="T41" i="41"/>
  <c r="U48" i="41"/>
  <c r="U44" i="41"/>
  <c r="U40" i="41"/>
  <c r="U47" i="41"/>
  <c r="U43" i="41"/>
  <c r="U39" i="41"/>
  <c r="U46" i="41"/>
  <c r="U42" i="41"/>
  <c r="U45" i="41"/>
  <c r="U41" i="41"/>
  <c r="O21" i="42"/>
  <c r="G21" i="42"/>
  <c r="E21" i="42"/>
  <c r="C21" i="42"/>
  <c r="N21" i="42"/>
  <c r="L21" i="42"/>
  <c r="J21" i="42"/>
  <c r="H21" i="42"/>
  <c r="F21" i="42"/>
  <c r="D21" i="42"/>
  <c r="B21" i="42"/>
  <c r="U21" i="42"/>
  <c r="S21" i="42"/>
  <c r="P21" i="42"/>
  <c r="Q21" i="42"/>
  <c r="R21" i="42"/>
  <c r="T21" i="42"/>
  <c r="M21" i="42"/>
  <c r="K21" i="42"/>
  <c r="I21" i="42"/>
  <c r="D75" i="42"/>
  <c r="F75" i="42"/>
  <c r="R79" i="42"/>
  <c r="N79" i="42"/>
  <c r="C75" i="42"/>
  <c r="J75" i="42"/>
  <c r="F79" i="42"/>
  <c r="E75" i="42"/>
  <c r="L75" i="42"/>
  <c r="B79" i="42"/>
  <c r="G75" i="42"/>
  <c r="N75" i="42"/>
  <c r="I75" i="42"/>
  <c r="P75" i="42"/>
  <c r="K75" i="42"/>
  <c r="R75" i="42"/>
  <c r="B82" i="42"/>
  <c r="M75" i="42"/>
  <c r="S75" i="42"/>
  <c r="T79" i="42"/>
  <c r="U75" i="42"/>
  <c r="S79" i="42"/>
  <c r="P79" i="42"/>
  <c r="H75" i="42"/>
  <c r="C79" i="42"/>
  <c r="D79" i="42"/>
  <c r="E79" i="42"/>
  <c r="Q75" i="42"/>
  <c r="T75" i="42"/>
  <c r="I79" i="42"/>
  <c r="Q79" i="42"/>
  <c r="M79" i="42"/>
  <c r="U79" i="42"/>
  <c r="O75" i="42"/>
  <c r="B75" i="42"/>
  <c r="O79" i="42"/>
  <c r="S24" i="42"/>
  <c r="T24" i="42"/>
  <c r="R24" i="42"/>
  <c r="P24" i="42"/>
  <c r="H24" i="42"/>
  <c r="Q24" i="42"/>
  <c r="J24" i="42"/>
  <c r="L24" i="42"/>
  <c r="G24" i="42"/>
  <c r="K24" i="42"/>
  <c r="M51" i="41"/>
  <c r="M50" i="41" s="1"/>
  <c r="R51" i="41"/>
  <c r="R50" i="41" s="1"/>
  <c r="U51" i="41"/>
  <c r="U50" i="41" s="1"/>
  <c r="T60" i="41"/>
  <c r="O63" i="41"/>
  <c r="T64" i="41"/>
  <c r="C51" i="41"/>
  <c r="C50" i="41" s="1"/>
  <c r="J24" i="41"/>
  <c r="J25" i="41" s="1"/>
  <c r="J27" i="41" s="1"/>
  <c r="K24" i="41"/>
  <c r="Q24" i="41"/>
  <c r="Q25" i="41" s="1"/>
  <c r="Q27" i="41" s="1"/>
  <c r="N51" i="41"/>
  <c r="N50" i="41" s="1"/>
  <c r="E51" i="41"/>
  <c r="E50" i="41" s="1"/>
  <c r="F51" i="41"/>
  <c r="F50" i="41" s="1"/>
  <c r="S51" i="41"/>
  <c r="S50" i="41" s="1"/>
  <c r="J51" i="41"/>
  <c r="J50" i="41" s="1"/>
  <c r="K51" i="41"/>
  <c r="K50" i="41" s="1"/>
  <c r="F75" i="41"/>
  <c r="E79" i="41"/>
  <c r="D75" i="41"/>
  <c r="F79" i="41"/>
  <c r="B82" i="41"/>
  <c r="F78" i="41" s="1"/>
  <c r="P75" i="41"/>
  <c r="U22" i="41"/>
  <c r="U26" i="41" s="1"/>
  <c r="I51" i="41"/>
  <c r="I50" i="41" s="1"/>
  <c r="O25" i="41"/>
  <c r="O27" i="41" s="1"/>
  <c r="Q51" i="41"/>
  <c r="Q50" i="41" s="1"/>
  <c r="L22" i="41"/>
  <c r="E26" i="41"/>
  <c r="B75" i="41"/>
  <c r="R79" i="41"/>
  <c r="P54" i="41"/>
  <c r="P56" i="41"/>
  <c r="T79" i="41"/>
  <c r="U79" i="41"/>
  <c r="T61" i="41"/>
  <c r="P79" i="41"/>
  <c r="M79" i="41"/>
  <c r="H51" i="41"/>
  <c r="H50" i="41" s="1"/>
  <c r="T57" i="41"/>
  <c r="S56" i="41"/>
  <c r="N79" i="41"/>
  <c r="I79" i="41"/>
  <c r="P64" i="41"/>
  <c r="T58" i="41"/>
  <c r="S64" i="41"/>
  <c r="P57" i="41"/>
  <c r="B79" i="41"/>
  <c r="G51" i="41"/>
  <c r="G50" i="41" s="1"/>
  <c r="S75" i="41"/>
  <c r="T75" i="41"/>
  <c r="M75" i="41"/>
  <c r="P18" i="41"/>
  <c r="P62" i="41"/>
  <c r="R62" i="41"/>
  <c r="O56" i="41"/>
  <c r="S62" i="41"/>
  <c r="O75" i="41"/>
  <c r="C79" i="41"/>
  <c r="S57" i="41"/>
  <c r="Q75" i="41"/>
  <c r="U75" i="41"/>
  <c r="O54" i="41"/>
  <c r="S65" i="41"/>
  <c r="D51" i="41"/>
  <c r="D50" i="41" s="1"/>
  <c r="Q22" i="41"/>
  <c r="K21" i="41"/>
  <c r="N21" i="41"/>
  <c r="O79" i="41"/>
  <c r="R75" i="41"/>
  <c r="K75" i="41"/>
  <c r="T18" i="41"/>
  <c r="P58" i="41"/>
  <c r="R58" i="41"/>
  <c r="O64" i="41"/>
  <c r="S58" i="41"/>
  <c r="H24" i="41"/>
  <c r="H25" i="41" s="1"/>
  <c r="H27" i="41" s="1"/>
  <c r="P65" i="41"/>
  <c r="P60" i="41"/>
  <c r="S63" i="41"/>
  <c r="B51" i="41"/>
  <c r="B50" i="41" s="1"/>
  <c r="E25" i="41"/>
  <c r="C21" i="41"/>
  <c r="S79" i="41"/>
  <c r="N75" i="41"/>
  <c r="G75" i="41"/>
  <c r="D21" i="41"/>
  <c r="L24" i="41"/>
  <c r="L25" i="41" s="1"/>
  <c r="L27" i="41" s="1"/>
  <c r="P59" i="41"/>
  <c r="Q61" i="41"/>
  <c r="R59" i="41"/>
  <c r="O60" i="41"/>
  <c r="S59" i="41"/>
  <c r="D79" i="41"/>
  <c r="R18" i="41"/>
  <c r="L75" i="41"/>
  <c r="E75" i="41"/>
  <c r="P24" i="41"/>
  <c r="P63" i="41"/>
  <c r="R60" i="41"/>
  <c r="O57" i="41"/>
  <c r="S60" i="41"/>
  <c r="T59" i="41"/>
  <c r="P51" i="41"/>
  <c r="P50" i="41" s="1"/>
  <c r="S22" i="41"/>
  <c r="J75" i="41"/>
  <c r="C75" i="41"/>
  <c r="O18" i="41"/>
  <c r="R24" i="41"/>
  <c r="R25" i="41" s="1"/>
  <c r="R27" i="41" s="1"/>
  <c r="L51" i="41"/>
  <c r="L50" i="41" s="1"/>
  <c r="S24" i="41"/>
  <c r="T54" i="41"/>
  <c r="Q63" i="41"/>
  <c r="R64" i="41"/>
  <c r="O65" i="41"/>
  <c r="G24" i="41"/>
  <c r="G25" i="41" s="1"/>
  <c r="G27" i="41" s="1"/>
  <c r="R63" i="41"/>
  <c r="H75" i="41"/>
  <c r="Q18" i="41"/>
  <c r="T51" i="41"/>
  <c r="T50" i="41" s="1"/>
  <c r="T24" i="41"/>
  <c r="T65" i="41"/>
  <c r="Q59" i="41"/>
  <c r="R61" i="41"/>
  <c r="O62" i="41"/>
  <c r="O51" i="41"/>
  <c r="O50" i="41" s="1"/>
  <c r="Q79" i="41"/>
  <c r="I75" i="41"/>
  <c r="O61" i="41"/>
  <c r="AE51" i="34"/>
  <c r="AE43" i="34"/>
  <c r="AE45" i="34"/>
  <c r="AE40" i="34"/>
  <c r="AE48" i="34"/>
  <c r="AE42" i="34"/>
  <c r="AE44" i="34"/>
  <c r="AE46" i="34"/>
  <c r="AE39" i="34"/>
  <c r="AE41" i="34"/>
  <c r="Q41" i="34"/>
  <c r="Q43" i="34"/>
  <c r="Q45" i="34"/>
  <c r="Q40" i="34"/>
  <c r="Q42" i="34"/>
  <c r="Q48" i="34"/>
  <c r="Q44" i="34"/>
  <c r="Q46" i="34"/>
  <c r="Q39" i="34"/>
  <c r="Q51" i="34"/>
  <c r="Q50" i="34" s="1"/>
  <c r="AP40" i="34"/>
  <c r="AP42" i="34"/>
  <c r="AP44" i="34"/>
  <c r="AP46" i="34"/>
  <c r="AP39" i="34"/>
  <c r="AP48" i="34"/>
  <c r="AP41" i="34"/>
  <c r="AP43" i="34"/>
  <c r="AP45" i="34"/>
  <c r="AN42" i="34"/>
  <c r="AN39" i="34"/>
  <c r="AN44" i="34"/>
  <c r="AN46" i="34"/>
  <c r="AN48" i="34"/>
  <c r="AN41" i="34"/>
  <c r="AN43" i="34"/>
  <c r="AN45" i="34"/>
  <c r="AN40" i="34"/>
  <c r="AM48" i="34"/>
  <c r="AM44" i="34"/>
  <c r="AM46" i="34"/>
  <c r="AM39" i="34"/>
  <c r="AM41" i="34"/>
  <c r="AM43" i="34"/>
  <c r="AM45" i="34"/>
  <c r="AM42" i="34"/>
  <c r="AM40" i="34"/>
  <c r="AI39" i="34"/>
  <c r="AI48" i="34"/>
  <c r="AI41" i="34"/>
  <c r="AI43" i="34"/>
  <c r="AI45" i="34"/>
  <c r="AI40" i="34"/>
  <c r="AI42" i="34"/>
  <c r="AI44" i="34"/>
  <c r="AI46" i="34"/>
  <c r="S39" i="34"/>
  <c r="S48" i="34"/>
  <c r="S41" i="34"/>
  <c r="S43" i="34"/>
  <c r="S45" i="34"/>
  <c r="S40" i="34"/>
  <c r="S42" i="34"/>
  <c r="S46" i="34"/>
  <c r="S44" i="34"/>
  <c r="AB23" i="34"/>
  <c r="Y42" i="34"/>
  <c r="Y46" i="34"/>
  <c r="Y44" i="34"/>
  <c r="Y39" i="34"/>
  <c r="Y40" i="34"/>
  <c r="Y48" i="34"/>
  <c r="Y41" i="34"/>
  <c r="Y43" i="34"/>
  <c r="Y45" i="34"/>
  <c r="AQ40" i="34"/>
  <c r="AQ42" i="34"/>
  <c r="AQ44" i="34"/>
  <c r="AQ46" i="34"/>
  <c r="AQ48" i="34"/>
  <c r="AQ39" i="34"/>
  <c r="AQ41" i="34"/>
  <c r="AQ43" i="34"/>
  <c r="AQ45" i="34"/>
  <c r="X42" i="34"/>
  <c r="X44" i="34"/>
  <c r="X39" i="34"/>
  <c r="X46" i="34"/>
  <c r="X48" i="34"/>
  <c r="X41" i="34"/>
  <c r="X43" i="34"/>
  <c r="X45" i="34"/>
  <c r="X40" i="34"/>
  <c r="AC45" i="34"/>
  <c r="AC42" i="34"/>
  <c r="AC40" i="34"/>
  <c r="AC44" i="34"/>
  <c r="AC48" i="34"/>
  <c r="AC46" i="34"/>
  <c r="AC39" i="34"/>
  <c r="AC41" i="34"/>
  <c r="AC43" i="34"/>
  <c r="O43" i="34"/>
  <c r="O45" i="34"/>
  <c r="O40" i="34"/>
  <c r="O42" i="34"/>
  <c r="O44" i="34"/>
  <c r="O46" i="34"/>
  <c r="O39" i="34"/>
  <c r="O48" i="34"/>
  <c r="O41" i="34"/>
  <c r="V44" i="34"/>
  <c r="V41" i="34"/>
  <c r="V46" i="34"/>
  <c r="V48" i="34"/>
  <c r="V39" i="34"/>
  <c r="V43" i="34"/>
  <c r="V45" i="34"/>
  <c r="V40" i="34"/>
  <c r="V42" i="34"/>
  <c r="T46" i="34"/>
  <c r="T39" i="34"/>
  <c r="T48" i="34"/>
  <c r="T41" i="34"/>
  <c r="T43" i="34"/>
  <c r="T45" i="34"/>
  <c r="T40" i="34"/>
  <c r="T42" i="34"/>
  <c r="T44" i="34"/>
  <c r="AA40" i="34"/>
  <c r="AA44" i="34"/>
  <c r="AA42" i="34"/>
  <c r="AA46" i="34"/>
  <c r="AA39" i="34"/>
  <c r="AA48" i="34"/>
  <c r="AA41" i="34"/>
  <c r="AA43" i="34"/>
  <c r="AA45" i="34"/>
  <c r="R48" i="34"/>
  <c r="R45" i="34"/>
  <c r="R41" i="34"/>
  <c r="R43" i="34"/>
  <c r="R40" i="34"/>
  <c r="R42" i="34"/>
  <c r="R39" i="34"/>
  <c r="R44" i="34"/>
  <c r="R46" i="34"/>
  <c r="K40" i="34"/>
  <c r="K44" i="34"/>
  <c r="K42" i="34"/>
  <c r="K48" i="34"/>
  <c r="K46" i="34"/>
  <c r="K39" i="34"/>
  <c r="K41" i="34"/>
  <c r="K43" i="34"/>
  <c r="K45" i="34"/>
  <c r="AO42" i="34"/>
  <c r="AO46" i="34"/>
  <c r="AO44" i="34"/>
  <c r="AO39" i="34"/>
  <c r="AO40" i="34"/>
  <c r="AO41" i="34"/>
  <c r="AO43" i="34"/>
  <c r="AO45" i="34"/>
  <c r="P43" i="34"/>
  <c r="P45" i="34"/>
  <c r="P40" i="34"/>
  <c r="P42" i="34"/>
  <c r="P44" i="34"/>
  <c r="P46" i="34"/>
  <c r="P48" i="34"/>
  <c r="P41" i="34"/>
  <c r="P39" i="34"/>
  <c r="N45" i="34"/>
  <c r="N40" i="34"/>
  <c r="N42" i="34"/>
  <c r="N48" i="34"/>
  <c r="N44" i="34"/>
  <c r="N46" i="34"/>
  <c r="N39" i="34"/>
  <c r="N43" i="34"/>
  <c r="N41" i="34"/>
  <c r="Z40" i="34"/>
  <c r="Z42" i="34"/>
  <c r="Z44" i="34"/>
  <c r="Z46" i="34"/>
  <c r="Z39" i="34"/>
  <c r="Z48" i="34"/>
  <c r="Z41" i="34"/>
  <c r="Z43" i="34"/>
  <c r="Z45" i="34"/>
  <c r="AL44" i="34"/>
  <c r="AL41" i="34"/>
  <c r="AL46" i="34"/>
  <c r="AL39" i="34"/>
  <c r="AL48" i="34"/>
  <c r="AL43" i="34"/>
  <c r="AL45" i="34"/>
  <c r="AL40" i="34"/>
  <c r="AL42" i="34"/>
  <c r="M45" i="34"/>
  <c r="M40" i="34"/>
  <c r="M42" i="34"/>
  <c r="M44" i="34"/>
  <c r="M48" i="34"/>
  <c r="M46" i="34"/>
  <c r="M39" i="34"/>
  <c r="M41" i="34"/>
  <c r="M43" i="34"/>
  <c r="W44" i="34"/>
  <c r="W48" i="34"/>
  <c r="W46" i="34"/>
  <c r="W39" i="34"/>
  <c r="W41" i="34"/>
  <c r="W43" i="34"/>
  <c r="W45" i="34"/>
  <c r="W42" i="34"/>
  <c r="W40" i="34"/>
  <c r="H42" i="34"/>
  <c r="H39" i="34"/>
  <c r="H44" i="34"/>
  <c r="H46" i="34"/>
  <c r="H48" i="34"/>
  <c r="H41" i="34"/>
  <c r="H43" i="34"/>
  <c r="H45" i="34"/>
  <c r="H40" i="34"/>
  <c r="B46" i="34"/>
  <c r="B48" i="34"/>
  <c r="B39" i="34"/>
  <c r="B45" i="34"/>
  <c r="B44" i="34"/>
  <c r="B40" i="34"/>
  <c r="B42" i="34"/>
  <c r="B43" i="34"/>
  <c r="B41" i="34"/>
  <c r="AK46" i="34"/>
  <c r="AK39" i="34"/>
  <c r="AK48" i="34"/>
  <c r="AK41" i="34"/>
  <c r="AK43" i="34"/>
  <c r="AK45" i="34"/>
  <c r="AK44" i="34"/>
  <c r="AK40" i="34"/>
  <c r="AK42" i="34"/>
  <c r="L40" i="34"/>
  <c r="L42" i="34"/>
  <c r="L44" i="34"/>
  <c r="L46" i="34"/>
  <c r="L48" i="34"/>
  <c r="L39" i="34"/>
  <c r="L41" i="34"/>
  <c r="L43" i="34"/>
  <c r="L45" i="34"/>
  <c r="C39" i="34"/>
  <c r="C48" i="34"/>
  <c r="C41" i="34"/>
  <c r="C43" i="34"/>
  <c r="C45" i="34"/>
  <c r="C46" i="34"/>
  <c r="C40" i="34"/>
  <c r="C42" i="34"/>
  <c r="C44" i="34"/>
  <c r="AJ46" i="34"/>
  <c r="AJ43" i="34"/>
  <c r="AJ39" i="34"/>
  <c r="AJ48" i="34"/>
  <c r="AJ41" i="34"/>
  <c r="AJ45" i="34"/>
  <c r="AJ40" i="34"/>
  <c r="AJ42" i="34"/>
  <c r="AJ44" i="34"/>
  <c r="J40" i="34"/>
  <c r="J42" i="34"/>
  <c r="J44" i="34"/>
  <c r="J46" i="34"/>
  <c r="J39" i="34"/>
  <c r="J48" i="34"/>
  <c r="J41" i="34"/>
  <c r="J43" i="34"/>
  <c r="J45" i="34"/>
  <c r="U46" i="34"/>
  <c r="U39" i="34"/>
  <c r="U48" i="34"/>
  <c r="U41" i="34"/>
  <c r="U43" i="34"/>
  <c r="U45" i="34"/>
  <c r="U40" i="34"/>
  <c r="U44" i="34"/>
  <c r="U42" i="34"/>
  <c r="D46" i="34"/>
  <c r="D39" i="34"/>
  <c r="D43" i="34"/>
  <c r="D48" i="34"/>
  <c r="D41" i="34"/>
  <c r="D45" i="34"/>
  <c r="D40" i="34"/>
  <c r="D42" i="34"/>
  <c r="D44" i="34"/>
  <c r="AH48" i="34"/>
  <c r="AH41" i="34"/>
  <c r="AH43" i="34"/>
  <c r="AH45" i="34"/>
  <c r="AH40" i="34"/>
  <c r="AH42" i="34"/>
  <c r="AH44" i="34"/>
  <c r="AH39" i="34"/>
  <c r="AH46" i="34"/>
  <c r="I42" i="34"/>
  <c r="I44" i="34"/>
  <c r="I46" i="34"/>
  <c r="I39" i="34"/>
  <c r="I48" i="34"/>
  <c r="I41" i="34"/>
  <c r="I43" i="34"/>
  <c r="I45" i="34"/>
  <c r="I40" i="34"/>
  <c r="D23" i="34"/>
  <c r="E46" i="34"/>
  <c r="E39" i="34"/>
  <c r="E48" i="34"/>
  <c r="E41" i="34"/>
  <c r="E43" i="34"/>
  <c r="E44" i="34"/>
  <c r="E45" i="34"/>
  <c r="E40" i="34"/>
  <c r="E42" i="34"/>
  <c r="AF43" i="34"/>
  <c r="AF45" i="34"/>
  <c r="AF40" i="34"/>
  <c r="AF48" i="34"/>
  <c r="AF42" i="34"/>
  <c r="AF41" i="34"/>
  <c r="AF44" i="34"/>
  <c r="AF46" i="34"/>
  <c r="AF39" i="34"/>
  <c r="AG41" i="34"/>
  <c r="AG43" i="34"/>
  <c r="AG45" i="34"/>
  <c r="AG48" i="34"/>
  <c r="AG40" i="34"/>
  <c r="AG42" i="34"/>
  <c r="AG46" i="34"/>
  <c r="AG44" i="34"/>
  <c r="AG39" i="34"/>
  <c r="F44" i="34"/>
  <c r="F46" i="34"/>
  <c r="F39" i="34"/>
  <c r="F41" i="34"/>
  <c r="F48" i="34"/>
  <c r="F43" i="34"/>
  <c r="F45" i="34"/>
  <c r="F40" i="34"/>
  <c r="F42" i="34"/>
  <c r="AD45" i="34"/>
  <c r="AD40" i="34"/>
  <c r="AD42" i="34"/>
  <c r="AD44" i="34"/>
  <c r="AD48" i="34"/>
  <c r="AD46" i="34"/>
  <c r="AD39" i="34"/>
  <c r="AD41" i="34"/>
  <c r="AD43" i="34"/>
  <c r="R23" i="34"/>
  <c r="G44" i="34"/>
  <c r="G46" i="34"/>
  <c r="G48" i="34"/>
  <c r="G39" i="34"/>
  <c r="G41" i="34"/>
  <c r="G43" i="34"/>
  <c r="G42" i="34"/>
  <c r="G45" i="34"/>
  <c r="G40" i="34"/>
  <c r="AB40" i="34"/>
  <c r="AB42" i="34"/>
  <c r="AB44" i="34"/>
  <c r="AB45" i="34"/>
  <c r="AB46" i="34"/>
  <c r="AB39" i="34"/>
  <c r="AB48" i="34"/>
  <c r="AB41" i="34"/>
  <c r="AB43" i="34"/>
  <c r="G39" i="35"/>
  <c r="G42" i="35"/>
  <c r="G45" i="35"/>
  <c r="G44" i="35"/>
  <c r="G48" i="35"/>
  <c r="G40" i="35"/>
  <c r="G43" i="35"/>
  <c r="G46" i="35"/>
  <c r="G41" i="35"/>
  <c r="G51" i="35"/>
  <c r="G50" i="35" s="1"/>
  <c r="AP45" i="35"/>
  <c r="AP48" i="35"/>
  <c r="AP40" i="35"/>
  <c r="AP43" i="35"/>
  <c r="AP42" i="35"/>
  <c r="AP46" i="35"/>
  <c r="AP41" i="35"/>
  <c r="AP44" i="35"/>
  <c r="AP39" i="35"/>
  <c r="R41" i="35"/>
  <c r="R44" i="35"/>
  <c r="R39" i="35"/>
  <c r="R42" i="35"/>
  <c r="R45" i="35"/>
  <c r="R48" i="35"/>
  <c r="R40" i="35"/>
  <c r="R46" i="35"/>
  <c r="R43" i="35"/>
  <c r="H42" i="35"/>
  <c r="H45" i="35"/>
  <c r="H48" i="35"/>
  <c r="H40" i="35"/>
  <c r="H43" i="35"/>
  <c r="H46" i="35"/>
  <c r="H41" i="35"/>
  <c r="H39" i="35"/>
  <c r="H44" i="35"/>
  <c r="H51" i="35"/>
  <c r="H50" i="35" s="1"/>
  <c r="AE43" i="35"/>
  <c r="AE40" i="35"/>
  <c r="AE46" i="35"/>
  <c r="AE41" i="35"/>
  <c r="AE48" i="35"/>
  <c r="AE44" i="35"/>
  <c r="AE39" i="35"/>
  <c r="AE42" i="35"/>
  <c r="AE45" i="35"/>
  <c r="AE51" i="35"/>
  <c r="U44" i="35"/>
  <c r="U39" i="35"/>
  <c r="U42" i="35"/>
  <c r="U45" i="35"/>
  <c r="U48" i="35"/>
  <c r="U40" i="35"/>
  <c r="U43" i="35"/>
  <c r="U46" i="35"/>
  <c r="U41" i="35"/>
  <c r="AF46" i="35"/>
  <c r="AF43" i="35"/>
  <c r="AF41" i="35"/>
  <c r="AF44" i="35"/>
  <c r="AF39" i="35"/>
  <c r="AF42" i="35"/>
  <c r="AF45" i="35"/>
  <c r="AF48" i="35"/>
  <c r="AF40" i="35"/>
  <c r="AF51" i="35"/>
  <c r="AH41" i="35"/>
  <c r="AH44" i="35"/>
  <c r="AH39" i="35"/>
  <c r="AH42" i="35"/>
  <c r="AH45" i="35"/>
  <c r="AH46" i="35"/>
  <c r="AH48" i="35"/>
  <c r="AH40" i="35"/>
  <c r="AH43" i="35"/>
  <c r="K45" i="35"/>
  <c r="K48" i="35"/>
  <c r="K40" i="35"/>
  <c r="K43" i="35"/>
  <c r="K42" i="35"/>
  <c r="K46" i="35"/>
  <c r="K41" i="35"/>
  <c r="K44" i="35"/>
  <c r="K39" i="35"/>
  <c r="K51" i="35"/>
  <c r="K50" i="35" s="1"/>
  <c r="O43" i="35"/>
  <c r="O40" i="35"/>
  <c r="O46" i="35"/>
  <c r="O41" i="35"/>
  <c r="O44" i="35"/>
  <c r="O48" i="35"/>
  <c r="O39" i="35"/>
  <c r="O42" i="35"/>
  <c r="O45" i="35"/>
  <c r="O51" i="35"/>
  <c r="O50" i="35" s="1"/>
  <c r="B41" i="35"/>
  <c r="B44" i="35"/>
  <c r="B39" i="35"/>
  <c r="B46" i="35"/>
  <c r="B42" i="35"/>
  <c r="B45" i="35"/>
  <c r="B48" i="35"/>
  <c r="B40" i="35"/>
  <c r="B43" i="35"/>
  <c r="AO42" i="35"/>
  <c r="AO45" i="35"/>
  <c r="AO39" i="35"/>
  <c r="AO48" i="35"/>
  <c r="AO40" i="35"/>
  <c r="AO43" i="35"/>
  <c r="AO46" i="35"/>
  <c r="AO41" i="35"/>
  <c r="AO44" i="35"/>
  <c r="L48" i="35"/>
  <c r="L40" i="35"/>
  <c r="L45" i="35"/>
  <c r="L43" i="35"/>
  <c r="L46" i="35"/>
  <c r="L41" i="35"/>
  <c r="L44" i="35"/>
  <c r="L39" i="35"/>
  <c r="L42" i="35"/>
  <c r="V39" i="35"/>
  <c r="V42" i="35"/>
  <c r="V45" i="35"/>
  <c r="V48" i="35"/>
  <c r="V40" i="35"/>
  <c r="V44" i="35"/>
  <c r="V43" i="35"/>
  <c r="V46" i="35"/>
  <c r="V41" i="35"/>
  <c r="M48" i="35"/>
  <c r="M40" i="35"/>
  <c r="M43" i="35"/>
  <c r="M46" i="35"/>
  <c r="M45" i="35"/>
  <c r="M41" i="35"/>
  <c r="M44" i="35"/>
  <c r="M39" i="35"/>
  <c r="M42" i="35"/>
  <c r="W39" i="35"/>
  <c r="W42" i="35"/>
  <c r="W45" i="35"/>
  <c r="W48" i="35"/>
  <c r="W40" i="35"/>
  <c r="W43" i="35"/>
  <c r="W46" i="35"/>
  <c r="W41" i="35"/>
  <c r="W44" i="35"/>
  <c r="B51" i="35"/>
  <c r="B50" i="35" s="1"/>
  <c r="AG46" i="35"/>
  <c r="AG41" i="35"/>
  <c r="AG44" i="35"/>
  <c r="AG39" i="35"/>
  <c r="AG42" i="35"/>
  <c r="AG43" i="35"/>
  <c r="AG45" i="35"/>
  <c r="AG48" i="35"/>
  <c r="AG40" i="35"/>
  <c r="AQ45" i="35"/>
  <c r="AQ42" i="35"/>
  <c r="AQ48" i="35"/>
  <c r="AQ40" i="35"/>
  <c r="AQ43" i="35"/>
  <c r="AQ46" i="35"/>
  <c r="AQ41" i="35"/>
  <c r="AQ44" i="35"/>
  <c r="AQ39" i="35"/>
  <c r="D44" i="35"/>
  <c r="D39" i="35"/>
  <c r="D42" i="35"/>
  <c r="D41" i="35"/>
  <c r="D45" i="35"/>
  <c r="D48" i="35"/>
  <c r="D40" i="35"/>
  <c r="D43" i="35"/>
  <c r="D46" i="35"/>
  <c r="N48" i="35"/>
  <c r="N43" i="35"/>
  <c r="N40" i="35"/>
  <c r="N46" i="35"/>
  <c r="N41" i="35"/>
  <c r="N44" i="35"/>
  <c r="N39" i="35"/>
  <c r="N42" i="35"/>
  <c r="N45" i="35"/>
  <c r="X42" i="35"/>
  <c r="X45" i="35"/>
  <c r="X48" i="35"/>
  <c r="X40" i="35"/>
  <c r="X43" i="35"/>
  <c r="X46" i="35"/>
  <c r="X41" i="35"/>
  <c r="X39" i="35"/>
  <c r="X44" i="35"/>
  <c r="C41" i="35"/>
  <c r="C44" i="35"/>
  <c r="C39" i="35"/>
  <c r="C42" i="35"/>
  <c r="C45" i="35"/>
  <c r="C48" i="35"/>
  <c r="C40" i="35"/>
  <c r="C46" i="35"/>
  <c r="C43" i="35"/>
  <c r="E44" i="35"/>
  <c r="E39" i="35"/>
  <c r="E42" i="35"/>
  <c r="E45" i="35"/>
  <c r="E41" i="35"/>
  <c r="E48" i="35"/>
  <c r="E40" i="35"/>
  <c r="E43" i="35"/>
  <c r="E46" i="35"/>
  <c r="Y42" i="35"/>
  <c r="Y45" i="35"/>
  <c r="Y48" i="35"/>
  <c r="Y40" i="35"/>
  <c r="Y39" i="35"/>
  <c r="Y43" i="35"/>
  <c r="Y46" i="35"/>
  <c r="Y41" i="35"/>
  <c r="Y44" i="35"/>
  <c r="AI41" i="35"/>
  <c r="AI44" i="35"/>
  <c r="AI39" i="35"/>
  <c r="AI42" i="35"/>
  <c r="AI45" i="35"/>
  <c r="AI48" i="35"/>
  <c r="AI40" i="35"/>
  <c r="AI46" i="35"/>
  <c r="AI43" i="35"/>
  <c r="M51" i="35"/>
  <c r="M50" i="35" s="1"/>
  <c r="F39" i="35"/>
  <c r="F42" i="35"/>
  <c r="F45" i="35"/>
  <c r="F48" i="35"/>
  <c r="F40" i="35"/>
  <c r="F43" i="35"/>
  <c r="F46" i="35"/>
  <c r="F41" i="35"/>
  <c r="F44" i="35"/>
  <c r="P46" i="35"/>
  <c r="P41" i="35"/>
  <c r="P44" i="35"/>
  <c r="P39" i="35"/>
  <c r="P43" i="35"/>
  <c r="P42" i="35"/>
  <c r="P45" i="35"/>
  <c r="P48" i="35"/>
  <c r="P40" i="35"/>
  <c r="Z42" i="35"/>
  <c r="Z45" i="35"/>
  <c r="Z48" i="35"/>
  <c r="Z40" i="35"/>
  <c r="Z43" i="35"/>
  <c r="Z46" i="35"/>
  <c r="Z41" i="35"/>
  <c r="Z44" i="35"/>
  <c r="Z39" i="35"/>
  <c r="AJ44" i="35"/>
  <c r="AJ39" i="35"/>
  <c r="AJ42" i="35"/>
  <c r="AJ45" i="35"/>
  <c r="AJ48" i="35"/>
  <c r="AJ40" i="35"/>
  <c r="AJ41" i="35"/>
  <c r="AJ43" i="35"/>
  <c r="AJ46" i="35"/>
  <c r="AH25" i="35"/>
  <c r="AH27" i="35" s="1"/>
  <c r="C51" i="35"/>
  <c r="C50" i="35" s="1"/>
  <c r="Q46" i="35"/>
  <c r="Q41" i="35"/>
  <c r="Q44" i="35"/>
  <c r="Q39" i="35"/>
  <c r="Q43" i="35"/>
  <c r="Q42" i="35"/>
  <c r="Q45" i="35"/>
  <c r="Q48" i="35"/>
  <c r="Q40" i="35"/>
  <c r="AA45" i="35"/>
  <c r="AA42" i="35"/>
  <c r="AA48" i="35"/>
  <c r="AA40" i="35"/>
  <c r="AA43" i="35"/>
  <c r="AA46" i="35"/>
  <c r="AA41" i="35"/>
  <c r="AA44" i="35"/>
  <c r="AA39" i="35"/>
  <c r="AK44" i="35"/>
  <c r="AK39" i="35"/>
  <c r="AK42" i="35"/>
  <c r="AK45" i="35"/>
  <c r="AK48" i="35"/>
  <c r="AK40" i="35"/>
  <c r="AK41" i="35"/>
  <c r="AK43" i="35"/>
  <c r="AK46" i="35"/>
  <c r="J25" i="35"/>
  <c r="J27" i="35" s="1"/>
  <c r="AB48" i="35"/>
  <c r="AB40" i="35"/>
  <c r="AB43" i="35"/>
  <c r="AB45" i="35"/>
  <c r="AB46" i="35"/>
  <c r="AB41" i="35"/>
  <c r="AB44" i="35"/>
  <c r="AB39" i="35"/>
  <c r="AB42" i="35"/>
  <c r="AL39" i="35"/>
  <c r="AL42" i="35"/>
  <c r="AL44" i="35"/>
  <c r="AL45" i="35"/>
  <c r="AL48" i="35"/>
  <c r="AL40" i="35"/>
  <c r="AL43" i="35"/>
  <c r="AL46" i="35"/>
  <c r="AL41" i="35"/>
  <c r="I42" i="35"/>
  <c r="I45" i="35"/>
  <c r="I48" i="35"/>
  <c r="I40" i="35"/>
  <c r="I43" i="35"/>
  <c r="I39" i="35"/>
  <c r="I46" i="35"/>
  <c r="I41" i="35"/>
  <c r="I44" i="35"/>
  <c r="S41" i="35"/>
  <c r="S44" i="35"/>
  <c r="S39" i="35"/>
  <c r="S42" i="35"/>
  <c r="S45" i="35"/>
  <c r="S48" i="35"/>
  <c r="S40" i="35"/>
  <c r="S43" i="35"/>
  <c r="S46" i="35"/>
  <c r="AC48" i="35"/>
  <c r="AC40" i="35"/>
  <c r="AC43" i="35"/>
  <c r="AC45" i="35"/>
  <c r="AC46" i="35"/>
  <c r="AC41" i="35"/>
  <c r="AC44" i="35"/>
  <c r="AC39" i="35"/>
  <c r="AC42" i="35"/>
  <c r="AM39" i="35"/>
  <c r="AM42" i="35"/>
  <c r="AM44" i="35"/>
  <c r="AM45" i="35"/>
  <c r="AM48" i="35"/>
  <c r="AM40" i="35"/>
  <c r="AM43" i="35"/>
  <c r="AM46" i="35"/>
  <c r="AM41" i="35"/>
  <c r="J45" i="35"/>
  <c r="J48" i="35"/>
  <c r="J40" i="35"/>
  <c r="J43" i="35"/>
  <c r="J46" i="35"/>
  <c r="J41" i="35"/>
  <c r="J42" i="35"/>
  <c r="J44" i="35"/>
  <c r="J39" i="35"/>
  <c r="T44" i="35"/>
  <c r="T39" i="35"/>
  <c r="T42" i="35"/>
  <c r="T45" i="35"/>
  <c r="T48" i="35"/>
  <c r="T40" i="35"/>
  <c r="T43" i="35"/>
  <c r="T41" i="35"/>
  <c r="T46" i="35"/>
  <c r="AD43" i="35"/>
  <c r="AD46" i="35"/>
  <c r="AD40" i="35"/>
  <c r="AD41" i="35"/>
  <c r="AD44" i="35"/>
  <c r="AD39" i="35"/>
  <c r="AD42" i="35"/>
  <c r="AD45" i="35"/>
  <c r="AD48" i="35"/>
  <c r="AN42" i="35"/>
  <c r="AN45" i="35"/>
  <c r="AN39" i="35"/>
  <c r="AN48" i="35"/>
  <c r="AN40" i="35"/>
  <c r="AN43" i="35"/>
  <c r="AN46" i="35"/>
  <c r="AN41" i="35"/>
  <c r="AN44" i="35"/>
  <c r="H51" i="31"/>
  <c r="H50" i="31" s="1"/>
  <c r="AB51" i="31"/>
  <c r="AB50" i="31" s="1"/>
  <c r="D51" i="31"/>
  <c r="D50" i="31" s="1"/>
  <c r="B51" i="31"/>
  <c r="B50" i="31" s="1"/>
  <c r="AA51" i="31"/>
  <c r="AA50" i="31" s="1"/>
  <c r="P51" i="31"/>
  <c r="P50" i="31" s="1"/>
  <c r="Z51" i="31"/>
  <c r="Z50" i="31" s="1"/>
  <c r="X51" i="31"/>
  <c r="X50" i="31" s="1"/>
  <c r="M51" i="31"/>
  <c r="M50" i="31" s="1"/>
  <c r="L51" i="31"/>
  <c r="L50" i="31" s="1"/>
  <c r="K51" i="31"/>
  <c r="K50" i="31" s="1"/>
  <c r="I51" i="31"/>
  <c r="I50" i="31" s="1"/>
  <c r="F23" i="31"/>
  <c r="O30" i="31"/>
  <c r="L23" i="31"/>
  <c r="B30" i="31"/>
  <c r="AO23" i="31"/>
  <c r="C116" i="31"/>
  <c r="D116" i="31" s="1"/>
  <c r="C111" i="31"/>
  <c r="D111" i="31" s="1"/>
  <c r="E111" i="31" s="1"/>
  <c r="F111" i="31" s="1"/>
  <c r="C114" i="31"/>
  <c r="D114" i="31" s="1"/>
  <c r="F114" i="31" s="1"/>
  <c r="D117" i="31"/>
  <c r="E117" i="31" s="1"/>
  <c r="F117" i="31" s="1"/>
  <c r="C109" i="31"/>
  <c r="D109" i="31" s="1"/>
  <c r="E109" i="31" s="1"/>
  <c r="F109" i="31" s="1"/>
  <c r="C110" i="31"/>
  <c r="D110" i="31" s="1"/>
  <c r="E110" i="31" s="1"/>
  <c r="F110" i="31" s="1"/>
  <c r="C112" i="31"/>
  <c r="D112" i="31" s="1"/>
  <c r="C113" i="31"/>
  <c r="D113" i="31" s="1"/>
  <c r="E113" i="31" s="1"/>
  <c r="F113" i="31" s="1"/>
  <c r="D118" i="31"/>
  <c r="E118" i="31" s="1"/>
  <c r="F118" i="31" s="1"/>
  <c r="C115" i="31"/>
  <c r="D115" i="31" s="1"/>
  <c r="E115" i="31" s="1"/>
  <c r="F115" i="31" s="1"/>
  <c r="P23" i="31"/>
  <c r="C23" i="31"/>
  <c r="E23" i="31"/>
  <c r="R23" i="31"/>
  <c r="N23" i="31"/>
  <c r="I23" i="31"/>
  <c r="T23" i="31"/>
  <c r="Q23" i="31"/>
  <c r="V23" i="31"/>
  <c r="Z23" i="31"/>
  <c r="W23" i="31"/>
  <c r="Y23" i="31"/>
  <c r="AD23" i="31"/>
  <c r="X23" i="31"/>
  <c r="AA23" i="31"/>
  <c r="AC23" i="31"/>
  <c r="AL23" i="31"/>
  <c r="AE23" i="31"/>
  <c r="AG23" i="31"/>
  <c r="AK23" i="31"/>
  <c r="AB30" i="31"/>
  <c r="G30" i="31"/>
  <c r="AB26" i="35"/>
  <c r="L51" i="35"/>
  <c r="L50" i="35" s="1"/>
  <c r="D51" i="35"/>
  <c r="D50" i="35" s="1"/>
  <c r="N51" i="35"/>
  <c r="N50" i="35" s="1"/>
  <c r="Y51" i="35"/>
  <c r="Y50" i="35" s="1"/>
  <c r="F51" i="35"/>
  <c r="F50" i="35" s="1"/>
  <c r="O26" i="35"/>
  <c r="Q51" i="35"/>
  <c r="Q50" i="35" s="1"/>
  <c r="Z26" i="35"/>
  <c r="AD22" i="35"/>
  <c r="AD25" i="35"/>
  <c r="AD27" i="35" s="1"/>
  <c r="AB51" i="35"/>
  <c r="AB50" i="35" s="1"/>
  <c r="I51" i="35"/>
  <c r="I50" i="35" s="1"/>
  <c r="E79" i="35"/>
  <c r="AB75" i="35"/>
  <c r="AP75" i="35" s="1"/>
  <c r="N79" i="35"/>
  <c r="AJ79" i="35" s="1"/>
  <c r="C79" i="35"/>
  <c r="Z75" i="35"/>
  <c r="AN75" i="35" s="1"/>
  <c r="L79" i="35"/>
  <c r="AH79" i="35" s="1"/>
  <c r="AQ75" i="35"/>
  <c r="V75" i="35"/>
  <c r="J79" i="35"/>
  <c r="AF79" i="35" s="1"/>
  <c r="AA75" i="35"/>
  <c r="AO75" i="35" s="1"/>
  <c r="R75" i="35"/>
  <c r="H79" i="35"/>
  <c r="AD79" i="35" s="1"/>
  <c r="AQ79" i="35"/>
  <c r="Y75" i="35"/>
  <c r="AM75" i="35" s="1"/>
  <c r="N75" i="35"/>
  <c r="AJ75" i="35" s="1"/>
  <c r="F79" i="35"/>
  <c r="AA79" i="35"/>
  <c r="AO79" i="35" s="1"/>
  <c r="W75" i="35"/>
  <c r="J75" i="35"/>
  <c r="AF75" i="35" s="1"/>
  <c r="D79" i="35"/>
  <c r="C75" i="35"/>
  <c r="Y79" i="35"/>
  <c r="AM79" i="35" s="1"/>
  <c r="U75" i="35"/>
  <c r="F75" i="35"/>
  <c r="B79" i="35"/>
  <c r="W79" i="35"/>
  <c r="S75" i="35"/>
  <c r="B75" i="35"/>
  <c r="X75" i="35"/>
  <c r="U79" i="35"/>
  <c r="Q75" i="35"/>
  <c r="B82" i="35"/>
  <c r="T75" i="35"/>
  <c r="S79" i="35"/>
  <c r="O75" i="35"/>
  <c r="AK75" i="35" s="1"/>
  <c r="AB79" i="35"/>
  <c r="AP79" i="35" s="1"/>
  <c r="P75" i="35"/>
  <c r="AL75" i="35" s="1"/>
  <c r="Q79" i="35"/>
  <c r="M75" i="35"/>
  <c r="AI75" i="35" s="1"/>
  <c r="Z79" i="35"/>
  <c r="AN79" i="35" s="1"/>
  <c r="L75" i="35"/>
  <c r="AH75" i="35" s="1"/>
  <c r="O79" i="35"/>
  <c r="AK79" i="35" s="1"/>
  <c r="K75" i="35"/>
  <c r="AG75" i="35" s="1"/>
  <c r="X79" i="35"/>
  <c r="H75" i="35"/>
  <c r="AD75" i="35" s="1"/>
  <c r="G79" i="35"/>
  <c r="AC79" i="35" s="1"/>
  <c r="M79" i="35"/>
  <c r="AI79" i="35" s="1"/>
  <c r="I75" i="35"/>
  <c r="AE75" i="35" s="1"/>
  <c r="V79" i="35"/>
  <c r="D75" i="35"/>
  <c r="P79" i="35"/>
  <c r="AL79" i="35" s="1"/>
  <c r="K79" i="35"/>
  <c r="AG79" i="35" s="1"/>
  <c r="G75" i="35"/>
  <c r="AC75" i="35" s="1"/>
  <c r="T79" i="35"/>
  <c r="I79" i="35"/>
  <c r="AE79" i="35" s="1"/>
  <c r="E75" i="35"/>
  <c r="R79" i="35"/>
  <c r="AD51" i="35"/>
  <c r="I26" i="35"/>
  <c r="AN22" i="35"/>
  <c r="H21" i="35"/>
  <c r="N21" i="35"/>
  <c r="R24" i="35"/>
  <c r="G23" i="35"/>
  <c r="AM23" i="35"/>
  <c r="AB23" i="35"/>
  <c r="AB25" i="35" s="1"/>
  <c r="AB27" i="35" s="1"/>
  <c r="C30" i="35"/>
  <c r="G30" i="35"/>
  <c r="AO21" i="35"/>
  <c r="I30" i="35"/>
  <c r="AK21" i="35"/>
  <c r="O30" i="35"/>
  <c r="AJ21" i="35"/>
  <c r="AQ21" i="35"/>
  <c r="K21" i="35"/>
  <c r="Z25" i="35"/>
  <c r="AF21" i="35"/>
  <c r="Y21" i="35"/>
  <c r="AF24" i="35"/>
  <c r="O23" i="35"/>
  <c r="O25" i="35" s="1"/>
  <c r="O27" i="35" s="1"/>
  <c r="D23" i="35"/>
  <c r="D25" i="35" s="1"/>
  <c r="D27" i="35" s="1"/>
  <c r="AJ23" i="35"/>
  <c r="Y30" i="35"/>
  <c r="AM21" i="35"/>
  <c r="G21" i="35"/>
  <c r="AC21" i="35"/>
  <c r="AA30" i="35"/>
  <c r="B30" i="35"/>
  <c r="S22" i="35"/>
  <c r="AI21" i="35"/>
  <c r="C21" i="35"/>
  <c r="U21" i="35"/>
  <c r="D30" i="35"/>
  <c r="AA25" i="35"/>
  <c r="X21" i="35"/>
  <c r="AE25" i="35"/>
  <c r="AE27" i="35" s="1"/>
  <c r="AG21" i="35"/>
  <c r="AP21" i="35"/>
  <c r="F30" i="35"/>
  <c r="N30" i="35"/>
  <c r="D26" i="35"/>
  <c r="Q21" i="35"/>
  <c r="Z30" i="35"/>
  <c r="E21" i="35"/>
  <c r="F21" i="35"/>
  <c r="P21" i="35"/>
  <c r="W21" i="35"/>
  <c r="R21" i="35"/>
  <c r="AK24" i="35"/>
  <c r="AL21" i="35"/>
  <c r="AG23" i="35"/>
  <c r="V23" i="35"/>
  <c r="C8" i="35"/>
  <c r="V21" i="35"/>
  <c r="J22" i="35"/>
  <c r="L21" i="35"/>
  <c r="C23" i="35"/>
  <c r="AI23" i="35"/>
  <c r="H30" i="35"/>
  <c r="B51" i="34"/>
  <c r="B50" i="34" s="1"/>
  <c r="C51" i="34"/>
  <c r="C50" i="34" s="1"/>
  <c r="D51" i="34"/>
  <c r="D50" i="34" s="1"/>
  <c r="E51" i="34"/>
  <c r="E50" i="34" s="1"/>
  <c r="F51" i="34"/>
  <c r="F50" i="34" s="1"/>
  <c r="G51" i="34"/>
  <c r="G50" i="34" s="1"/>
  <c r="AJ21" i="34"/>
  <c r="AP21" i="34"/>
  <c r="M21" i="34"/>
  <c r="Q21" i="34"/>
  <c r="W21" i="34"/>
  <c r="R21" i="34"/>
  <c r="O21" i="34"/>
  <c r="V21" i="34"/>
  <c r="AF21" i="34"/>
  <c r="Y21" i="34"/>
  <c r="AA21" i="34"/>
  <c r="AK21" i="34"/>
  <c r="U21" i="34"/>
  <c r="AG21" i="34"/>
  <c r="AE21" i="34"/>
  <c r="Z21" i="34"/>
  <c r="J21" i="34"/>
  <c r="AC21" i="34"/>
  <c r="AO21" i="34"/>
  <c r="AI21" i="34"/>
  <c r="AD21" i="34"/>
  <c r="AQ21" i="34"/>
  <c r="T21" i="34"/>
  <c r="C8" i="34"/>
  <c r="H21" i="34"/>
  <c r="C21" i="34"/>
  <c r="AM21" i="34"/>
  <c r="AH21" i="34"/>
  <c r="L21" i="34"/>
  <c r="AL21" i="34"/>
  <c r="P21" i="34"/>
  <c r="G21" i="34"/>
  <c r="B21" i="34"/>
  <c r="E21" i="34"/>
  <c r="X21" i="34"/>
  <c r="F21" i="34"/>
  <c r="D21" i="34"/>
  <c r="K21" i="34"/>
  <c r="AB21" i="34"/>
  <c r="I21" i="34"/>
  <c r="AN21" i="34"/>
  <c r="S21" i="34"/>
  <c r="N21" i="34"/>
  <c r="AQ51" i="34"/>
  <c r="AQ50" i="34" s="1"/>
  <c r="AC51" i="34"/>
  <c r="O51" i="34"/>
  <c r="O50" i="34" s="1"/>
  <c r="H51" i="34"/>
  <c r="H50" i="34" s="1"/>
  <c r="K51" i="34"/>
  <c r="K50" i="34" s="1"/>
  <c r="AB79" i="34"/>
  <c r="AP79" i="34" s="1"/>
  <c r="R79" i="34"/>
  <c r="B75" i="34"/>
  <c r="G79" i="34"/>
  <c r="AC79" i="34" s="1"/>
  <c r="X79" i="34"/>
  <c r="N79" i="34"/>
  <c r="AJ79" i="34" s="1"/>
  <c r="D75" i="34"/>
  <c r="I79" i="34"/>
  <c r="AE79" i="34" s="1"/>
  <c r="T79" i="34"/>
  <c r="J79" i="34"/>
  <c r="AF79" i="34" s="1"/>
  <c r="F75" i="34"/>
  <c r="K79" i="34"/>
  <c r="AG79" i="34" s="1"/>
  <c r="AQ75" i="34"/>
  <c r="P79" i="34"/>
  <c r="AL79" i="34" s="1"/>
  <c r="F79" i="34"/>
  <c r="H75" i="34"/>
  <c r="AD75" i="34" s="1"/>
  <c r="M79" i="34"/>
  <c r="AI79" i="34" s="1"/>
  <c r="AQ79" i="34"/>
  <c r="L79" i="34"/>
  <c r="AH79" i="34" s="1"/>
  <c r="B79" i="34"/>
  <c r="J75" i="34"/>
  <c r="AF75" i="34" s="1"/>
  <c r="O79" i="34"/>
  <c r="AK79" i="34" s="1"/>
  <c r="H79" i="34"/>
  <c r="AD79" i="34" s="1"/>
  <c r="Y75" i="34"/>
  <c r="AM75" i="34" s="1"/>
  <c r="L75" i="34"/>
  <c r="AH75" i="34" s="1"/>
  <c r="Q79" i="34"/>
  <c r="D79" i="34"/>
  <c r="U75" i="34"/>
  <c r="N75" i="34"/>
  <c r="AJ75" i="34" s="1"/>
  <c r="S79" i="34"/>
  <c r="AA75" i="34"/>
  <c r="AO75" i="34" s="1"/>
  <c r="Q75" i="34"/>
  <c r="P75" i="34"/>
  <c r="AL75" i="34" s="1"/>
  <c r="U79" i="34"/>
  <c r="W75" i="34"/>
  <c r="M75" i="34"/>
  <c r="AI75" i="34" s="1"/>
  <c r="R75" i="34"/>
  <c r="W79" i="34"/>
  <c r="S75" i="34"/>
  <c r="I75" i="34"/>
  <c r="AE75" i="34" s="1"/>
  <c r="T75" i="34"/>
  <c r="Y79" i="34"/>
  <c r="AM79" i="34" s="1"/>
  <c r="C75" i="34"/>
  <c r="O75" i="34"/>
  <c r="AK75" i="34" s="1"/>
  <c r="E75" i="34"/>
  <c r="V75" i="34"/>
  <c r="AA79" i="34"/>
  <c r="AO79" i="34" s="1"/>
  <c r="AB75" i="34"/>
  <c r="AP75" i="34" s="1"/>
  <c r="K75" i="34"/>
  <c r="AG75" i="34" s="1"/>
  <c r="X75" i="34"/>
  <c r="G75" i="34"/>
  <c r="AC75" i="34" s="1"/>
  <c r="Z75" i="34"/>
  <c r="AN75" i="34" s="1"/>
  <c r="B82" i="34"/>
  <c r="Z79" i="34"/>
  <c r="AN79" i="34" s="1"/>
  <c r="C79" i="34"/>
  <c r="V79" i="34"/>
  <c r="E79" i="34"/>
  <c r="V23" i="34"/>
  <c r="M23" i="34"/>
  <c r="X23" i="34"/>
  <c r="O23" i="34"/>
  <c r="AD23" i="34"/>
  <c r="U23" i="34"/>
  <c r="AF23" i="34"/>
  <c r="W23" i="34"/>
  <c r="B23" i="34"/>
  <c r="AH23" i="34"/>
  <c r="Y23" i="34"/>
  <c r="AJ23" i="34"/>
  <c r="AA23" i="34"/>
  <c r="H23" i="34"/>
  <c r="AN23" i="34"/>
  <c r="AE23" i="34"/>
  <c r="J23" i="34"/>
  <c r="AP23" i="34"/>
  <c r="AG23" i="34"/>
  <c r="L23" i="34"/>
  <c r="C23" i="34"/>
  <c r="AI23" i="34"/>
  <c r="N23" i="34"/>
  <c r="E23" i="34"/>
  <c r="AK23" i="34"/>
  <c r="P23" i="34"/>
  <c r="G23" i="34"/>
  <c r="AM23" i="34"/>
  <c r="X51" i="34"/>
  <c r="X50" i="34" s="1"/>
  <c r="T23" i="34"/>
  <c r="D51" i="39"/>
  <c r="D50" i="39" s="1"/>
  <c r="C22" i="39"/>
  <c r="J51" i="39"/>
  <c r="J50" i="39" s="1"/>
  <c r="D23" i="39"/>
  <c r="C8" i="39"/>
  <c r="B23" i="39"/>
  <c r="G22" i="39"/>
  <c r="L21" i="39"/>
  <c r="F21" i="39"/>
  <c r="M23" i="39"/>
  <c r="K21" i="39"/>
  <c r="K23" i="39"/>
  <c r="B21" i="39"/>
  <c r="I23" i="39"/>
  <c r="M21" i="39"/>
  <c r="G23" i="39"/>
  <c r="N21" i="39"/>
  <c r="J21" i="39"/>
  <c r="E23" i="39"/>
  <c r="C23" i="39"/>
  <c r="C25" i="39" s="1"/>
  <c r="C27" i="39" s="1"/>
  <c r="E21" i="39"/>
  <c r="E22" i="39" s="1"/>
  <c r="I21" i="39"/>
  <c r="L23" i="39"/>
  <c r="J23" i="39"/>
  <c r="D21" i="39"/>
  <c r="H23" i="39"/>
  <c r="H25" i="39" s="1"/>
  <c r="H27" i="39" s="1"/>
  <c r="L51" i="39"/>
  <c r="L50" i="39" s="1"/>
  <c r="M51" i="39"/>
  <c r="M50" i="39" s="1"/>
  <c r="N51" i="39"/>
  <c r="N50" i="39" s="1"/>
  <c r="G75" i="39"/>
  <c r="D75" i="39"/>
  <c r="E75" i="39"/>
  <c r="B75" i="39"/>
  <c r="C75" i="39"/>
  <c r="B82" i="39"/>
  <c r="M79" i="39"/>
  <c r="K79" i="39"/>
  <c r="L79" i="39"/>
  <c r="I79" i="39"/>
  <c r="J79" i="39"/>
  <c r="G79" i="39"/>
  <c r="H79" i="39"/>
  <c r="E79" i="39"/>
  <c r="F79" i="39"/>
  <c r="C79" i="39"/>
  <c r="N79" i="39"/>
  <c r="D79" i="39"/>
  <c r="N75" i="39"/>
  <c r="B79" i="39"/>
  <c r="L75" i="39"/>
  <c r="M75" i="39"/>
  <c r="J75" i="39"/>
  <c r="K75" i="39"/>
  <c r="H75" i="39"/>
  <c r="I75" i="39"/>
  <c r="F75" i="39"/>
  <c r="J51" i="31"/>
  <c r="J50" i="31" s="1"/>
  <c r="Z21" i="31"/>
  <c r="AA21" i="31"/>
  <c r="D21" i="31"/>
  <c r="P21" i="31"/>
  <c r="X21" i="31"/>
  <c r="AQ21" i="31"/>
  <c r="AG21" i="31"/>
  <c r="R21" i="31"/>
  <c r="L21" i="31"/>
  <c r="H21" i="31"/>
  <c r="T21" i="31"/>
  <c r="AK21" i="31"/>
  <c r="B21" i="31"/>
  <c r="AF21" i="31"/>
  <c r="F21" i="31"/>
  <c r="AB21" i="31"/>
  <c r="G21" i="31"/>
  <c r="C21" i="31"/>
  <c r="AI21" i="31"/>
  <c r="N21" i="31"/>
  <c r="S21" i="31"/>
  <c r="AC21" i="31"/>
  <c r="O21" i="31"/>
  <c r="AJ21" i="31"/>
  <c r="C8" i="31"/>
  <c r="AP21" i="31"/>
  <c r="U21" i="31"/>
  <c r="V21" i="31"/>
  <c r="W21" i="31"/>
  <c r="AL21" i="31"/>
  <c r="AO21" i="31"/>
  <c r="M21" i="31"/>
  <c r="I21" i="31"/>
  <c r="AD21" i="31"/>
  <c r="E21" i="31"/>
  <c r="AE21" i="31"/>
  <c r="Q21" i="31"/>
  <c r="AN21" i="31"/>
  <c r="K21" i="31"/>
  <c r="AM21" i="31"/>
  <c r="J21" i="31"/>
  <c r="AH21" i="31"/>
  <c r="Y21" i="31"/>
  <c r="AQ79" i="31"/>
  <c r="Y75" i="31"/>
  <c r="AM75" i="31" s="1"/>
  <c r="L75" i="31"/>
  <c r="AH75" i="31" s="1"/>
  <c r="D79" i="31"/>
  <c r="X75" i="31"/>
  <c r="AA79" i="31"/>
  <c r="AO79" i="31" s="1"/>
  <c r="W75" i="31"/>
  <c r="H75" i="31"/>
  <c r="AD75" i="31" s="1"/>
  <c r="B79" i="31"/>
  <c r="W79" i="31"/>
  <c r="Y79" i="31"/>
  <c r="AM79" i="31" s="1"/>
  <c r="U75" i="31"/>
  <c r="F75" i="31"/>
  <c r="AB75" i="31"/>
  <c r="AP75" i="31" s="1"/>
  <c r="S75" i="31"/>
  <c r="U79" i="31"/>
  <c r="Q75" i="31"/>
  <c r="AB79" i="31"/>
  <c r="AP79" i="31" s="1"/>
  <c r="T75" i="31"/>
  <c r="S79" i="31"/>
  <c r="O75" i="31"/>
  <c r="AK75" i="31" s="1"/>
  <c r="Z79" i="31"/>
  <c r="AN79" i="31" s="1"/>
  <c r="N75" i="31"/>
  <c r="AJ75" i="31" s="1"/>
  <c r="C79" i="31"/>
  <c r="Q79" i="31"/>
  <c r="M75" i="31"/>
  <c r="AI75" i="31" s="1"/>
  <c r="X79" i="31"/>
  <c r="J75" i="31"/>
  <c r="AF75" i="31" s="1"/>
  <c r="O79" i="31"/>
  <c r="AK79" i="31" s="1"/>
  <c r="K75" i="31"/>
  <c r="AG75" i="31" s="1"/>
  <c r="V79" i="31"/>
  <c r="D75" i="31"/>
  <c r="M79" i="31"/>
  <c r="AI79" i="31" s="1"/>
  <c r="I75" i="31"/>
  <c r="AE75" i="31" s="1"/>
  <c r="T79" i="31"/>
  <c r="B75" i="31"/>
  <c r="V75" i="31"/>
  <c r="K79" i="31"/>
  <c r="AG79" i="31" s="1"/>
  <c r="G75" i="31"/>
  <c r="AC75" i="31" s="1"/>
  <c r="R79" i="31"/>
  <c r="I79" i="31"/>
  <c r="AE79" i="31" s="1"/>
  <c r="E75" i="31"/>
  <c r="P79" i="31"/>
  <c r="AL79" i="31" s="1"/>
  <c r="G79" i="31"/>
  <c r="AC79" i="31" s="1"/>
  <c r="C75" i="31"/>
  <c r="N79" i="31"/>
  <c r="AJ79" i="31" s="1"/>
  <c r="J79" i="31"/>
  <c r="AF79" i="31" s="1"/>
  <c r="E79" i="31"/>
  <c r="Z75" i="31"/>
  <c r="AN75" i="31" s="1"/>
  <c r="L79" i="31"/>
  <c r="AH79" i="31" s="1"/>
  <c r="AQ75" i="31"/>
  <c r="R75" i="31"/>
  <c r="H79" i="31"/>
  <c r="AD79" i="31" s="1"/>
  <c r="AA75" i="31"/>
  <c r="AO75" i="31" s="1"/>
  <c r="P75" i="31"/>
  <c r="AL75" i="31" s="1"/>
  <c r="F79" i="31"/>
  <c r="B82" i="31"/>
  <c r="G51" i="31"/>
  <c r="G50" i="31" s="1"/>
  <c r="E51" i="31"/>
  <c r="E50" i="31" s="1"/>
  <c r="W24" i="31"/>
  <c r="AN24" i="31"/>
  <c r="Y30" i="31"/>
  <c r="AC24" i="31"/>
  <c r="AP24" i="31"/>
  <c r="AA30" i="31"/>
  <c r="AG24" i="31"/>
  <c r="AQ30" i="31"/>
  <c r="AI24" i="31"/>
  <c r="G23" i="31"/>
  <c r="AM23" i="31"/>
  <c r="AB23" i="31"/>
  <c r="AK24" i="31"/>
  <c r="AM24" i="31"/>
  <c r="K23" i="31"/>
  <c r="AQ23" i="31"/>
  <c r="AF23" i="31"/>
  <c r="AO24" i="31"/>
  <c r="M23" i="31"/>
  <c r="B23" i="31"/>
  <c r="AH23" i="31"/>
  <c r="R24" i="31"/>
  <c r="O23" i="31"/>
  <c r="D23" i="31"/>
  <c r="AJ23" i="31"/>
  <c r="T24" i="31"/>
  <c r="V24" i="31"/>
  <c r="S23" i="31"/>
  <c r="H23" i="31"/>
  <c r="AN23" i="31"/>
  <c r="AD24" i="31"/>
  <c r="U23" i="31"/>
  <c r="J23" i="31"/>
  <c r="AH24" i="31"/>
  <c r="U24" i="31"/>
  <c r="K51" i="39"/>
  <c r="K50" i="39" s="1"/>
  <c r="Z27" i="35" l="1"/>
  <c r="S25" i="35"/>
  <c r="S27" i="35" s="1"/>
  <c r="AB28" i="35"/>
  <c r="B25" i="41"/>
  <c r="G25" i="39"/>
  <c r="G27" i="39" s="1"/>
  <c r="B25" i="35"/>
  <c r="B27" i="35" s="1"/>
  <c r="AA26" i="35"/>
  <c r="M25" i="35"/>
  <c r="M27" i="35" s="1"/>
  <c r="B28" i="35"/>
  <c r="P25" i="41"/>
  <c r="P27" i="41" s="1"/>
  <c r="C109" i="39"/>
  <c r="D109" i="39" s="1"/>
  <c r="S25" i="41"/>
  <c r="S27" i="41" s="1"/>
  <c r="AA27" i="35"/>
  <c r="M25" i="41"/>
  <c r="M27" i="41" s="1"/>
  <c r="F22" i="41"/>
  <c r="F25" i="41"/>
  <c r="T25" i="41"/>
  <c r="T27" i="41" s="1"/>
  <c r="I22" i="41"/>
  <c r="I25" i="41"/>
  <c r="U27" i="41"/>
  <c r="U28" i="41" s="1"/>
  <c r="M25" i="42"/>
  <c r="M22" i="42"/>
  <c r="G25" i="42"/>
  <c r="G27" i="42" s="1"/>
  <c r="G22" i="42"/>
  <c r="T22" i="42"/>
  <c r="T25" i="42"/>
  <c r="T27" i="42" s="1"/>
  <c r="O25" i="42"/>
  <c r="O27" i="42" s="1"/>
  <c r="O22" i="42"/>
  <c r="R22" i="42"/>
  <c r="R25" i="42"/>
  <c r="R27" i="42" s="1"/>
  <c r="Q25" i="42"/>
  <c r="Q27" i="42" s="1"/>
  <c r="Q22" i="42"/>
  <c r="P22" i="42"/>
  <c r="P25" i="42"/>
  <c r="P27" i="42" s="1"/>
  <c r="S22" i="42"/>
  <c r="S25" i="42"/>
  <c r="S27" i="42" s="1"/>
  <c r="U25" i="42"/>
  <c r="U22" i="42"/>
  <c r="U26" i="42" s="1"/>
  <c r="B22" i="42"/>
  <c r="B25" i="42"/>
  <c r="D22" i="42"/>
  <c r="D25" i="42"/>
  <c r="F22" i="42"/>
  <c r="F25" i="42"/>
  <c r="H22" i="42"/>
  <c r="H25" i="42"/>
  <c r="H27" i="42" s="1"/>
  <c r="J22" i="42"/>
  <c r="J25" i="42"/>
  <c r="J27" i="42" s="1"/>
  <c r="L25" i="42"/>
  <c r="L27" i="42" s="1"/>
  <c r="L22" i="42"/>
  <c r="E78" i="42"/>
  <c r="R76" i="42"/>
  <c r="I78" i="42"/>
  <c r="B78" i="42"/>
  <c r="U78" i="42"/>
  <c r="N78" i="42"/>
  <c r="D76" i="42"/>
  <c r="R78" i="42"/>
  <c r="H76" i="42"/>
  <c r="O76" i="42"/>
  <c r="L76" i="42"/>
  <c r="Q76" i="42"/>
  <c r="P76" i="42"/>
  <c r="S78" i="42"/>
  <c r="C76" i="42"/>
  <c r="T76" i="42"/>
  <c r="E76" i="42"/>
  <c r="D78" i="42"/>
  <c r="M78" i="42"/>
  <c r="G76" i="42"/>
  <c r="P78" i="42"/>
  <c r="O78" i="42"/>
  <c r="F78" i="42"/>
  <c r="I76" i="42"/>
  <c r="T78" i="42"/>
  <c r="Q78" i="42"/>
  <c r="K76" i="42"/>
  <c r="B76" i="42"/>
  <c r="S76" i="42"/>
  <c r="M76" i="42"/>
  <c r="F76" i="42"/>
  <c r="U76" i="42"/>
  <c r="J76" i="42"/>
  <c r="C78" i="42"/>
  <c r="N76" i="42"/>
  <c r="N25" i="42"/>
  <c r="N22" i="42"/>
  <c r="I25" i="42"/>
  <c r="I22" i="42"/>
  <c r="C25" i="42"/>
  <c r="C22" i="42"/>
  <c r="K25" i="42"/>
  <c r="K27" i="42" s="1"/>
  <c r="K22" i="42"/>
  <c r="E25" i="42"/>
  <c r="E22" i="42"/>
  <c r="S78" i="41"/>
  <c r="Q76" i="41"/>
  <c r="H76" i="41"/>
  <c r="C78" i="41"/>
  <c r="U78" i="41"/>
  <c r="R78" i="41"/>
  <c r="O78" i="41"/>
  <c r="I78" i="41"/>
  <c r="T78" i="41"/>
  <c r="I76" i="41"/>
  <c r="C76" i="41"/>
  <c r="P76" i="41"/>
  <c r="M76" i="41"/>
  <c r="N78" i="41"/>
  <c r="J76" i="41"/>
  <c r="D78" i="41"/>
  <c r="T76" i="41"/>
  <c r="U76" i="41"/>
  <c r="E78" i="41"/>
  <c r="K76" i="41"/>
  <c r="B78" i="41"/>
  <c r="S76" i="41"/>
  <c r="E76" i="41"/>
  <c r="R76" i="41"/>
  <c r="F76" i="41"/>
  <c r="L76" i="41"/>
  <c r="Q78" i="41"/>
  <c r="D76" i="41"/>
  <c r="O76" i="41"/>
  <c r="M78" i="41"/>
  <c r="B27" i="41"/>
  <c r="G76" i="41"/>
  <c r="N76" i="41"/>
  <c r="P78" i="41"/>
  <c r="B76" i="41"/>
  <c r="E27" i="41"/>
  <c r="C25" i="41"/>
  <c r="C22" i="41"/>
  <c r="D22" i="41"/>
  <c r="D25" i="41"/>
  <c r="N22" i="41"/>
  <c r="N25" i="41"/>
  <c r="K25" i="41"/>
  <c r="K27" i="41" s="1"/>
  <c r="K22" i="41"/>
  <c r="R22" i="35"/>
  <c r="T28" i="35" s="1"/>
  <c r="R25" i="35"/>
  <c r="R27" i="35" s="1"/>
  <c r="W25" i="35"/>
  <c r="W27" i="35" s="1"/>
  <c r="W22" i="35"/>
  <c r="X22" i="35"/>
  <c r="X25" i="35"/>
  <c r="X27" i="35" s="1"/>
  <c r="P25" i="35"/>
  <c r="P27" i="35" s="1"/>
  <c r="P22" i="35"/>
  <c r="U25" i="35"/>
  <c r="U27" i="35" s="1"/>
  <c r="U22" i="35"/>
  <c r="U28" i="35" s="1"/>
  <c r="K78" i="35"/>
  <c r="AG78" i="35" s="1"/>
  <c r="G76" i="35"/>
  <c r="AC76" i="35" s="1"/>
  <c r="X78" i="35"/>
  <c r="I78" i="35"/>
  <c r="AE78" i="35" s="1"/>
  <c r="E76" i="35"/>
  <c r="P78" i="35"/>
  <c r="AL78" i="35" s="1"/>
  <c r="M78" i="35"/>
  <c r="AI78" i="35" s="1"/>
  <c r="G78" i="35"/>
  <c r="AC78" i="35" s="1"/>
  <c r="C76" i="35"/>
  <c r="L78" i="35"/>
  <c r="AH78" i="35" s="1"/>
  <c r="E78" i="35"/>
  <c r="N78" i="35"/>
  <c r="AJ78" i="35" s="1"/>
  <c r="J78" i="35"/>
  <c r="AF78" i="35" s="1"/>
  <c r="C78" i="35"/>
  <c r="H78" i="35"/>
  <c r="AD78" i="35" s="1"/>
  <c r="F78" i="35"/>
  <c r="AQ76" i="35"/>
  <c r="D78" i="35"/>
  <c r="B78" i="35"/>
  <c r="AA76" i="35"/>
  <c r="AO76" i="35" s="1"/>
  <c r="AB76" i="35"/>
  <c r="AP76" i="35" s="1"/>
  <c r="Z76" i="35"/>
  <c r="AN76" i="35" s="1"/>
  <c r="I76" i="35"/>
  <c r="AE76" i="35" s="1"/>
  <c r="Y76" i="35"/>
  <c r="AM76" i="35" s="1"/>
  <c r="X76" i="35"/>
  <c r="T76" i="35"/>
  <c r="W76" i="35"/>
  <c r="V76" i="35"/>
  <c r="P76" i="35"/>
  <c r="AL76" i="35" s="1"/>
  <c r="Z78" i="35"/>
  <c r="AN78" i="35" s="1"/>
  <c r="U76" i="35"/>
  <c r="R76" i="35"/>
  <c r="L76" i="35"/>
  <c r="AH76" i="35" s="1"/>
  <c r="AQ78" i="35"/>
  <c r="AQ18" i="35" s="1"/>
  <c r="S76" i="35"/>
  <c r="N76" i="35"/>
  <c r="AJ76" i="35" s="1"/>
  <c r="H76" i="35"/>
  <c r="AD76" i="35" s="1"/>
  <c r="AA78" i="35"/>
  <c r="AO78" i="35" s="1"/>
  <c r="Q76" i="35"/>
  <c r="J76" i="35"/>
  <c r="AF76" i="35" s="1"/>
  <c r="D76" i="35"/>
  <c r="Y78" i="35"/>
  <c r="AM78" i="35" s="1"/>
  <c r="O76" i="35"/>
  <c r="AK76" i="35" s="1"/>
  <c r="F76" i="35"/>
  <c r="Q78" i="35"/>
  <c r="M76" i="35"/>
  <c r="AI76" i="35" s="1"/>
  <c r="B76" i="35"/>
  <c r="O78" i="35"/>
  <c r="AK78" i="35" s="1"/>
  <c r="K76" i="35"/>
  <c r="AG76" i="35" s="1"/>
  <c r="AB78" i="35"/>
  <c r="AP78" i="35" s="1"/>
  <c r="F25" i="35"/>
  <c r="F22" i="35"/>
  <c r="C25" i="35"/>
  <c r="C22" i="35"/>
  <c r="Y22" i="35"/>
  <c r="Y25" i="35"/>
  <c r="E22" i="35"/>
  <c r="E25" i="35"/>
  <c r="E27" i="35" s="1"/>
  <c r="AI25" i="35"/>
  <c r="AI27" i="35" s="1"/>
  <c r="AI22" i="35"/>
  <c r="AF22" i="35"/>
  <c r="AF28" i="35" s="1"/>
  <c r="AF25" i="35"/>
  <c r="AF27" i="35" s="1"/>
  <c r="L22" i="35"/>
  <c r="L25" i="35"/>
  <c r="L27" i="35" s="1"/>
  <c r="K25" i="35"/>
  <c r="K27" i="35" s="1"/>
  <c r="K22" i="35"/>
  <c r="AQ25" i="35"/>
  <c r="AQ22" i="35"/>
  <c r="AQ26" i="35" s="1"/>
  <c r="V25" i="35"/>
  <c r="V27" i="35" s="1"/>
  <c r="V22" i="35"/>
  <c r="Q25" i="35"/>
  <c r="Q27" i="35" s="1"/>
  <c r="Q22" i="35"/>
  <c r="S28" i="35" s="1"/>
  <c r="AJ25" i="35"/>
  <c r="AJ27" i="35" s="1"/>
  <c r="AJ22" i="35"/>
  <c r="AO22" i="35"/>
  <c r="AP28" i="35" s="1"/>
  <c r="AO25" i="35"/>
  <c r="AO27" i="35" s="1"/>
  <c r="H22" i="35"/>
  <c r="H25" i="35"/>
  <c r="AK22" i="35"/>
  <c r="AK25" i="35"/>
  <c r="AK27" i="35" s="1"/>
  <c r="AC25" i="35"/>
  <c r="AC27" i="35" s="1"/>
  <c r="AC22" i="35"/>
  <c r="N22" i="35"/>
  <c r="N25" i="35"/>
  <c r="AL22" i="35"/>
  <c r="AL25" i="35"/>
  <c r="AL27" i="35" s="1"/>
  <c r="AP22" i="35"/>
  <c r="AP25" i="35"/>
  <c r="AP27" i="35" s="1"/>
  <c r="G22" i="35"/>
  <c r="G25" i="35"/>
  <c r="AG25" i="35"/>
  <c r="AG27" i="35" s="1"/>
  <c r="AG22" i="35"/>
  <c r="AM25" i="35"/>
  <c r="AM27" i="35" s="1"/>
  <c r="AM22" i="35"/>
  <c r="P25" i="34"/>
  <c r="P27" i="34" s="1"/>
  <c r="P22" i="34"/>
  <c r="AE25" i="34"/>
  <c r="AE27" i="34" s="1"/>
  <c r="AE22" i="34"/>
  <c r="AL22" i="34"/>
  <c r="AL25" i="34"/>
  <c r="AL27" i="34" s="1"/>
  <c r="AG25" i="34"/>
  <c r="AG27" i="34" s="1"/>
  <c r="AG22" i="34"/>
  <c r="AH25" i="34"/>
  <c r="AH27" i="34" s="1"/>
  <c r="AH22" i="34"/>
  <c r="AK22" i="34"/>
  <c r="AK25" i="34"/>
  <c r="AK27" i="34" s="1"/>
  <c r="Z25" i="34"/>
  <c r="Z22" i="34"/>
  <c r="L22" i="34"/>
  <c r="L25" i="34"/>
  <c r="L27" i="34" s="1"/>
  <c r="N25" i="34"/>
  <c r="N22" i="34"/>
  <c r="AM22" i="34"/>
  <c r="AM25" i="34"/>
  <c r="AM27" i="34" s="1"/>
  <c r="AA22" i="34"/>
  <c r="AA25" i="34"/>
  <c r="S25" i="34"/>
  <c r="S27" i="34" s="1"/>
  <c r="S22" i="34"/>
  <c r="C25" i="34"/>
  <c r="C22" i="34"/>
  <c r="Y22" i="34"/>
  <c r="Y25" i="34"/>
  <c r="AN25" i="34"/>
  <c r="AN27" i="34" s="1"/>
  <c r="AN22" i="34"/>
  <c r="H22" i="34"/>
  <c r="H25" i="34"/>
  <c r="AF22" i="34"/>
  <c r="AF25" i="34"/>
  <c r="AF27" i="34" s="1"/>
  <c r="I22" i="34"/>
  <c r="I25" i="34"/>
  <c r="V22" i="34"/>
  <c r="V25" i="34"/>
  <c r="V27" i="34" s="1"/>
  <c r="O76" i="34"/>
  <c r="AK76" i="34" s="1"/>
  <c r="AA78" i="34"/>
  <c r="AO78" i="34" s="1"/>
  <c r="C76" i="34"/>
  <c r="J76" i="34"/>
  <c r="AF76" i="34" s="1"/>
  <c r="W76" i="34"/>
  <c r="E76" i="34"/>
  <c r="Z76" i="34"/>
  <c r="AN76" i="34" s="1"/>
  <c r="D78" i="34"/>
  <c r="I76" i="34"/>
  <c r="AE76" i="34" s="1"/>
  <c r="O78" i="34"/>
  <c r="AK78" i="34" s="1"/>
  <c r="L78" i="34"/>
  <c r="AH78" i="34" s="1"/>
  <c r="M76" i="34"/>
  <c r="AI76" i="34" s="1"/>
  <c r="Z78" i="34"/>
  <c r="AN78" i="34" s="1"/>
  <c r="Q76" i="34"/>
  <c r="S76" i="34"/>
  <c r="D76" i="34"/>
  <c r="U76" i="34"/>
  <c r="H78" i="34"/>
  <c r="AD78" i="34" s="1"/>
  <c r="H76" i="34"/>
  <c r="AD76" i="34" s="1"/>
  <c r="Y76" i="34"/>
  <c r="AM76" i="34" s="1"/>
  <c r="K76" i="34"/>
  <c r="AG76" i="34" s="1"/>
  <c r="L76" i="34"/>
  <c r="AH76" i="34" s="1"/>
  <c r="B78" i="34"/>
  <c r="P76" i="34"/>
  <c r="AL76" i="34" s="1"/>
  <c r="F78" i="34"/>
  <c r="F76" i="34"/>
  <c r="T76" i="34"/>
  <c r="J78" i="34"/>
  <c r="AF78" i="34" s="1"/>
  <c r="K78" i="34"/>
  <c r="AG78" i="34" s="1"/>
  <c r="N76" i="34"/>
  <c r="AJ76" i="34" s="1"/>
  <c r="X76" i="34"/>
  <c r="N78" i="34"/>
  <c r="AJ78" i="34" s="1"/>
  <c r="AQ76" i="34"/>
  <c r="G78" i="34"/>
  <c r="AC78" i="34" s="1"/>
  <c r="V76" i="34"/>
  <c r="AB76" i="34"/>
  <c r="AP76" i="34" s="1"/>
  <c r="X78" i="34"/>
  <c r="P78" i="34"/>
  <c r="AL78" i="34" s="1"/>
  <c r="C78" i="34"/>
  <c r="E78" i="34"/>
  <c r="AQ78" i="34"/>
  <c r="AQ18" i="34" s="1"/>
  <c r="R76" i="34"/>
  <c r="B76" i="34"/>
  <c r="Y78" i="34"/>
  <c r="AM78" i="34" s="1"/>
  <c r="M78" i="34"/>
  <c r="AI78" i="34" s="1"/>
  <c r="I78" i="34"/>
  <c r="AE78" i="34" s="1"/>
  <c r="AB78" i="34"/>
  <c r="AP78" i="34" s="1"/>
  <c r="AA76" i="34"/>
  <c r="AO76" i="34" s="1"/>
  <c r="G76" i="34"/>
  <c r="AC76" i="34" s="1"/>
  <c r="Q78" i="34"/>
  <c r="AB22" i="34"/>
  <c r="AB25" i="34"/>
  <c r="T25" i="34"/>
  <c r="T27" i="34" s="1"/>
  <c r="T22" i="34"/>
  <c r="O25" i="34"/>
  <c r="O22" i="34"/>
  <c r="K25" i="34"/>
  <c r="K27" i="34" s="1"/>
  <c r="K22" i="34"/>
  <c r="AQ25" i="34"/>
  <c r="AQ22" i="34"/>
  <c r="AQ26" i="34" s="1"/>
  <c r="R25" i="34"/>
  <c r="R27" i="34" s="1"/>
  <c r="R22" i="34"/>
  <c r="D25" i="34"/>
  <c r="D22" i="34"/>
  <c r="AD25" i="34"/>
  <c r="AD27" i="34" s="1"/>
  <c r="AD22" i="34"/>
  <c r="W22" i="34"/>
  <c r="W25" i="34"/>
  <c r="W27" i="34" s="1"/>
  <c r="F22" i="34"/>
  <c r="F25" i="34"/>
  <c r="AI22" i="34"/>
  <c r="AI25" i="34"/>
  <c r="AI27" i="34" s="1"/>
  <c r="Q22" i="34"/>
  <c r="Q25" i="34"/>
  <c r="Q27" i="34" s="1"/>
  <c r="X22" i="34"/>
  <c r="X25" i="34"/>
  <c r="X27" i="34" s="1"/>
  <c r="AO25" i="34"/>
  <c r="AO27" i="34" s="1"/>
  <c r="AO22" i="34"/>
  <c r="M22" i="34"/>
  <c r="M25" i="34"/>
  <c r="M27" i="34" s="1"/>
  <c r="E25" i="34"/>
  <c r="E27" i="34" s="1"/>
  <c r="E22" i="34"/>
  <c r="AC22" i="34"/>
  <c r="AE28" i="34" s="1"/>
  <c r="AC25" i="34"/>
  <c r="AC27" i="34" s="1"/>
  <c r="AP22" i="34"/>
  <c r="AP25" i="34"/>
  <c r="AP27" i="34" s="1"/>
  <c r="G25" i="34"/>
  <c r="G22" i="34"/>
  <c r="U22" i="34"/>
  <c r="U25" i="34"/>
  <c r="U27" i="34" s="1"/>
  <c r="B25" i="34"/>
  <c r="B22" i="34"/>
  <c r="J22" i="34"/>
  <c r="J25" i="34"/>
  <c r="J27" i="34" s="1"/>
  <c r="AJ25" i="34"/>
  <c r="AJ27" i="34" s="1"/>
  <c r="AJ22" i="34"/>
  <c r="K22" i="39"/>
  <c r="K25" i="39"/>
  <c r="D25" i="39"/>
  <c r="D22" i="39"/>
  <c r="E28" i="39" s="1"/>
  <c r="F25" i="39"/>
  <c r="F22" i="39"/>
  <c r="G28" i="39" s="1"/>
  <c r="L22" i="39"/>
  <c r="L25" i="39"/>
  <c r="I25" i="39"/>
  <c r="I27" i="39" s="1"/>
  <c r="I22" i="39"/>
  <c r="E26" i="39"/>
  <c r="E25" i="39"/>
  <c r="J22" i="39"/>
  <c r="J25" i="39"/>
  <c r="N22" i="39"/>
  <c r="N26" i="39" s="1"/>
  <c r="N25" i="39"/>
  <c r="M25" i="39"/>
  <c r="M22" i="39"/>
  <c r="B25" i="39"/>
  <c r="B27" i="39" s="1"/>
  <c r="B22" i="39"/>
  <c r="D28" i="39" s="1"/>
  <c r="M78" i="39"/>
  <c r="I76" i="39"/>
  <c r="K78" i="39"/>
  <c r="G76" i="39"/>
  <c r="E78" i="39"/>
  <c r="E76" i="39"/>
  <c r="N76" i="39"/>
  <c r="C76" i="39"/>
  <c r="N78" i="39"/>
  <c r="N18" i="39" s="1"/>
  <c r="L76" i="39"/>
  <c r="J76" i="39"/>
  <c r="H76" i="39"/>
  <c r="F76" i="39"/>
  <c r="D76" i="39"/>
  <c r="B76" i="39"/>
  <c r="L78" i="39"/>
  <c r="J78" i="39"/>
  <c r="D78" i="39"/>
  <c r="F78" i="39"/>
  <c r="M76" i="39"/>
  <c r="K76" i="39"/>
  <c r="X25" i="31"/>
  <c r="X27" i="31" s="1"/>
  <c r="X22" i="31"/>
  <c r="K78" i="31"/>
  <c r="AG78" i="31" s="1"/>
  <c r="G76" i="31"/>
  <c r="AC76" i="31" s="1"/>
  <c r="D78" i="31"/>
  <c r="P76" i="31"/>
  <c r="AL76" i="31" s="1"/>
  <c r="I78" i="31"/>
  <c r="AE78" i="31" s="1"/>
  <c r="E76" i="31"/>
  <c r="B78" i="31"/>
  <c r="G78" i="31"/>
  <c r="AC78" i="31" s="1"/>
  <c r="C76" i="31"/>
  <c r="AB76" i="31"/>
  <c r="AP76" i="31" s="1"/>
  <c r="C78" i="31"/>
  <c r="J76" i="31"/>
  <c r="AF76" i="31" s="1"/>
  <c r="X76" i="31"/>
  <c r="AQ76" i="31"/>
  <c r="F76" i="31"/>
  <c r="V76" i="31"/>
  <c r="AA76" i="31"/>
  <c r="AO76" i="31" s="1"/>
  <c r="B76" i="31"/>
  <c r="T76" i="31"/>
  <c r="O78" i="31"/>
  <c r="AK78" i="31" s="1"/>
  <c r="Y76" i="31"/>
  <c r="AM76" i="31" s="1"/>
  <c r="AB78" i="31"/>
  <c r="AP78" i="31" s="1"/>
  <c r="R76" i="31"/>
  <c r="W76" i="31"/>
  <c r="Z78" i="31"/>
  <c r="AN78" i="31" s="1"/>
  <c r="N76" i="31"/>
  <c r="AJ76" i="31" s="1"/>
  <c r="AQ78" i="31"/>
  <c r="AQ18" i="31" s="1"/>
  <c r="U76" i="31"/>
  <c r="X78" i="31"/>
  <c r="L76" i="31"/>
  <c r="AH76" i="31" s="1"/>
  <c r="J78" i="31"/>
  <c r="AF78" i="31" s="1"/>
  <c r="AA78" i="31"/>
  <c r="AO78" i="31" s="1"/>
  <c r="S76" i="31"/>
  <c r="P78" i="31"/>
  <c r="AL78" i="31" s="1"/>
  <c r="H76" i="31"/>
  <c r="AD76" i="31" s="1"/>
  <c r="M76" i="31"/>
  <c r="AI76" i="31" s="1"/>
  <c r="Y78" i="31"/>
  <c r="AM78" i="31" s="1"/>
  <c r="Q76" i="31"/>
  <c r="N78" i="31"/>
  <c r="AJ78" i="31" s="1"/>
  <c r="D76" i="31"/>
  <c r="Q78" i="31"/>
  <c r="O76" i="31"/>
  <c r="AK76" i="31" s="1"/>
  <c r="L78" i="31"/>
  <c r="AH78" i="31" s="1"/>
  <c r="M78" i="31"/>
  <c r="AI78" i="31" s="1"/>
  <c r="K76" i="31"/>
  <c r="AG76" i="31" s="1"/>
  <c r="H78" i="31"/>
  <c r="AD78" i="31" s="1"/>
  <c r="E78" i="31"/>
  <c r="I76" i="31"/>
  <c r="AE76" i="31" s="1"/>
  <c r="F78" i="31"/>
  <c r="Z76" i="31"/>
  <c r="AN76" i="31" s="1"/>
  <c r="AE25" i="31"/>
  <c r="AE27" i="31" s="1"/>
  <c r="AE22" i="31"/>
  <c r="N25" i="31"/>
  <c r="N22" i="31"/>
  <c r="P22" i="31"/>
  <c r="P25" i="31"/>
  <c r="P27" i="31" s="1"/>
  <c r="E25" i="31"/>
  <c r="E27" i="31" s="1"/>
  <c r="E22" i="31"/>
  <c r="AI25" i="31"/>
  <c r="AI27" i="31" s="1"/>
  <c r="AI22" i="31"/>
  <c r="D22" i="31"/>
  <c r="D25" i="31"/>
  <c r="AD25" i="31"/>
  <c r="AD27" i="31" s="1"/>
  <c r="AD22" i="31"/>
  <c r="C25" i="31"/>
  <c r="C22" i="31"/>
  <c r="AA25" i="31"/>
  <c r="AA22" i="31"/>
  <c r="I25" i="31"/>
  <c r="I22" i="31"/>
  <c r="G25" i="31"/>
  <c r="G22" i="31"/>
  <c r="Z25" i="31"/>
  <c r="Z22" i="31"/>
  <c r="M25" i="31"/>
  <c r="M27" i="31" s="1"/>
  <c r="M22" i="31"/>
  <c r="AB22" i="31"/>
  <c r="AB25" i="31"/>
  <c r="Q22" i="31"/>
  <c r="Q25" i="31"/>
  <c r="Q27" i="31" s="1"/>
  <c r="AO25" i="31"/>
  <c r="AO27" i="31" s="1"/>
  <c r="AO22" i="31"/>
  <c r="F25" i="31"/>
  <c r="F22" i="31"/>
  <c r="AL22" i="31"/>
  <c r="AL25" i="31"/>
  <c r="AL27" i="31" s="1"/>
  <c r="AF25" i="31"/>
  <c r="AF27" i="31" s="1"/>
  <c r="AF22" i="31"/>
  <c r="W25" i="31"/>
  <c r="W27" i="31" s="1"/>
  <c r="W22" i="31"/>
  <c r="B25" i="31"/>
  <c r="B22" i="31"/>
  <c r="S22" i="31"/>
  <c r="S25" i="31"/>
  <c r="S27" i="31" s="1"/>
  <c r="V22" i="31"/>
  <c r="V25" i="31"/>
  <c r="V27" i="31" s="1"/>
  <c r="AK25" i="31"/>
  <c r="AK27" i="31" s="1"/>
  <c r="AK22" i="31"/>
  <c r="Y25" i="31"/>
  <c r="Y22" i="31"/>
  <c r="U22" i="31"/>
  <c r="U25" i="31"/>
  <c r="U27" i="31" s="1"/>
  <c r="T22" i="31"/>
  <c r="T25" i="31"/>
  <c r="T27" i="31" s="1"/>
  <c r="AH22" i="31"/>
  <c r="AH25" i="31"/>
  <c r="AH27" i="31" s="1"/>
  <c r="AP22" i="31"/>
  <c r="AP25" i="31"/>
  <c r="AP27" i="31" s="1"/>
  <c r="H25" i="31"/>
  <c r="H22" i="31"/>
  <c r="J25" i="31"/>
  <c r="J27" i="31" s="1"/>
  <c r="J22" i="31"/>
  <c r="L22" i="31"/>
  <c r="L25" i="31"/>
  <c r="L27" i="31" s="1"/>
  <c r="AM25" i="31"/>
  <c r="AM27" i="31" s="1"/>
  <c r="AM22" i="31"/>
  <c r="AJ22" i="31"/>
  <c r="AJ25" i="31"/>
  <c r="AJ27" i="31" s="1"/>
  <c r="R25" i="31"/>
  <c r="R27" i="31" s="1"/>
  <c r="R22" i="31"/>
  <c r="K25" i="31"/>
  <c r="K27" i="31" s="1"/>
  <c r="K22" i="31"/>
  <c r="O25" i="31"/>
  <c r="O22" i="31"/>
  <c r="AG25" i="31"/>
  <c r="AG27" i="31" s="1"/>
  <c r="AG22" i="31"/>
  <c r="AN25" i="31"/>
  <c r="AN27" i="31" s="1"/>
  <c r="AN22" i="31"/>
  <c r="AC22" i="31"/>
  <c r="AC25" i="31"/>
  <c r="AC27" i="31" s="1"/>
  <c r="AQ22" i="31"/>
  <c r="AQ26" i="31" s="1"/>
  <c r="AQ25" i="31"/>
  <c r="AO28" i="31" l="1"/>
  <c r="Y28" i="31"/>
  <c r="G28" i="31"/>
  <c r="V28" i="31"/>
  <c r="AF28" i="34"/>
  <c r="AL28" i="31"/>
  <c r="AL28" i="34"/>
  <c r="M28" i="35"/>
  <c r="AE28" i="31"/>
  <c r="W28" i="34"/>
  <c r="X28" i="35"/>
  <c r="L28" i="35"/>
  <c r="AQ27" i="31"/>
  <c r="N28" i="42"/>
  <c r="M28" i="42"/>
  <c r="I26" i="41"/>
  <c r="I27" i="41" s="1"/>
  <c r="I28" i="41"/>
  <c r="T28" i="41" s="1"/>
  <c r="J28" i="41"/>
  <c r="F26" i="41"/>
  <c r="F27" i="41" s="1"/>
  <c r="G28" i="41"/>
  <c r="H28" i="41"/>
  <c r="N27" i="39"/>
  <c r="N28" i="39" s="1"/>
  <c r="G28" i="42"/>
  <c r="E26" i="42"/>
  <c r="E27" i="42" s="1"/>
  <c r="L28" i="42"/>
  <c r="J28" i="42"/>
  <c r="E28" i="42"/>
  <c r="R28" i="42" s="1"/>
  <c r="C26" i="42"/>
  <c r="C27" i="42" s="1"/>
  <c r="F26" i="42"/>
  <c r="F27" i="42" s="1"/>
  <c r="H28" i="42"/>
  <c r="K28" i="42"/>
  <c r="I26" i="42"/>
  <c r="I27" i="42" s="1"/>
  <c r="D26" i="42"/>
  <c r="D27" i="42" s="1"/>
  <c r="F28" i="42"/>
  <c r="S28" i="42" s="1"/>
  <c r="I28" i="42"/>
  <c r="T28" i="42" s="1"/>
  <c r="N26" i="42"/>
  <c r="N27" i="42" s="1"/>
  <c r="C28" i="42"/>
  <c r="P28" i="42" s="1"/>
  <c r="D28" i="42"/>
  <c r="Q28" i="42" s="1"/>
  <c r="B26" i="42"/>
  <c r="B27" i="42" s="1"/>
  <c r="B28" i="42"/>
  <c r="O28" i="42" s="1"/>
  <c r="M26" i="42"/>
  <c r="M27" i="42" s="1"/>
  <c r="U27" i="42"/>
  <c r="U28" i="42" s="1"/>
  <c r="M28" i="41"/>
  <c r="K28" i="41"/>
  <c r="L28" i="41"/>
  <c r="N26" i="41"/>
  <c r="N27" i="41" s="1"/>
  <c r="C28" i="41"/>
  <c r="P28" i="41" s="1"/>
  <c r="B28" i="41"/>
  <c r="O28" i="41" s="1"/>
  <c r="D26" i="41"/>
  <c r="D27" i="41" s="1"/>
  <c r="F28" i="41"/>
  <c r="S28" i="41" s="1"/>
  <c r="E28" i="41"/>
  <c r="R28" i="41" s="1"/>
  <c r="C26" i="41"/>
  <c r="C27" i="41" s="1"/>
  <c r="D28" i="41"/>
  <c r="Q28" i="41" s="1"/>
  <c r="N28" i="41"/>
  <c r="M28" i="34"/>
  <c r="S28" i="34"/>
  <c r="N28" i="34"/>
  <c r="AP28" i="34"/>
  <c r="AK28" i="34"/>
  <c r="AM28" i="34"/>
  <c r="Y28" i="34"/>
  <c r="AO28" i="35"/>
  <c r="AI28" i="35"/>
  <c r="N28" i="35"/>
  <c r="AN28" i="31"/>
  <c r="AI28" i="31"/>
  <c r="U28" i="31"/>
  <c r="O28" i="31"/>
  <c r="AK28" i="31"/>
  <c r="H28" i="35"/>
  <c r="F26" i="35"/>
  <c r="F27" i="35" s="1"/>
  <c r="AM28" i="35"/>
  <c r="W28" i="35"/>
  <c r="V28" i="35"/>
  <c r="H26" i="35"/>
  <c r="H27" i="35" s="1"/>
  <c r="J28" i="35"/>
  <c r="AH28" i="35"/>
  <c r="AG28" i="35"/>
  <c r="R28" i="35"/>
  <c r="Q28" i="35"/>
  <c r="I28" i="35"/>
  <c r="G26" i="35"/>
  <c r="G27" i="35" s="1"/>
  <c r="AL28" i="35"/>
  <c r="AK28" i="35"/>
  <c r="AJ28" i="35"/>
  <c r="Z28" i="35"/>
  <c r="G28" i="35"/>
  <c r="F28" i="35"/>
  <c r="Y28" i="35"/>
  <c r="AN28" i="35"/>
  <c r="Y26" i="35"/>
  <c r="Y27" i="35" s="1"/>
  <c r="AA28" i="35"/>
  <c r="N26" i="35"/>
  <c r="N27" i="35" s="1"/>
  <c r="P28" i="35"/>
  <c r="O28" i="35"/>
  <c r="E28" i="35"/>
  <c r="C26" i="35"/>
  <c r="C27" i="35" s="1"/>
  <c r="C28" i="35"/>
  <c r="D28" i="35"/>
  <c r="AE28" i="35"/>
  <c r="AD28" i="35"/>
  <c r="AC28" i="35"/>
  <c r="AQ27" i="35"/>
  <c r="K28" i="35"/>
  <c r="F26" i="34"/>
  <c r="F27" i="34" s="1"/>
  <c r="H28" i="34"/>
  <c r="Y26" i="34"/>
  <c r="Y27" i="34" s="1"/>
  <c r="AA28" i="34"/>
  <c r="I28" i="34"/>
  <c r="G26" i="34"/>
  <c r="G27" i="34" s="1"/>
  <c r="C26" i="34"/>
  <c r="C27" i="34" s="1"/>
  <c r="E28" i="34"/>
  <c r="AJ28" i="34"/>
  <c r="AB26" i="34"/>
  <c r="AB27" i="34" s="1"/>
  <c r="C28" i="34"/>
  <c r="AD28" i="34"/>
  <c r="U28" i="34"/>
  <c r="AI28" i="34"/>
  <c r="H26" i="34"/>
  <c r="H27" i="34" s="1"/>
  <c r="J28" i="34"/>
  <c r="G28" i="34"/>
  <c r="F28" i="34"/>
  <c r="D26" i="34"/>
  <c r="D27" i="34" s="1"/>
  <c r="O28" i="34"/>
  <c r="X28" i="34"/>
  <c r="AA26" i="34"/>
  <c r="AA27" i="34" s="1"/>
  <c r="B28" i="34"/>
  <c r="AC28" i="34"/>
  <c r="AN28" i="34"/>
  <c r="O26" i="34"/>
  <c r="O27" i="34" s="1"/>
  <c r="Q28" i="34"/>
  <c r="T28" i="34"/>
  <c r="AG28" i="34"/>
  <c r="AB28" i="34"/>
  <c r="Z26" i="34"/>
  <c r="Z27" i="34" s="1"/>
  <c r="K28" i="34"/>
  <c r="I26" i="34"/>
  <c r="I27" i="34" s="1"/>
  <c r="AO28" i="34"/>
  <c r="L28" i="34"/>
  <c r="B26" i="34"/>
  <c r="B27" i="34" s="1"/>
  <c r="D28" i="34"/>
  <c r="P28" i="34"/>
  <c r="N26" i="34"/>
  <c r="N27" i="34" s="1"/>
  <c r="R28" i="34"/>
  <c r="V28" i="34"/>
  <c r="Z28" i="34"/>
  <c r="AQ27" i="34"/>
  <c r="AH28" i="34"/>
  <c r="J26" i="39"/>
  <c r="J27" i="39" s="1"/>
  <c r="L28" i="39"/>
  <c r="E27" i="39"/>
  <c r="I28" i="39"/>
  <c r="J28" i="39"/>
  <c r="K28" i="39"/>
  <c r="B28" i="39"/>
  <c r="L26" i="39"/>
  <c r="L27" i="39" s="1"/>
  <c r="F26" i="39"/>
  <c r="F27" i="39" s="1"/>
  <c r="H28" i="39"/>
  <c r="M26" i="39"/>
  <c r="M27" i="39" s="1"/>
  <c r="C28" i="39"/>
  <c r="D26" i="39"/>
  <c r="D27" i="39" s="1"/>
  <c r="F28" i="39"/>
  <c r="M28" i="39"/>
  <c r="K26" i="39"/>
  <c r="K27" i="39" s="1"/>
  <c r="D26" i="31"/>
  <c r="D27" i="31" s="1"/>
  <c r="F28" i="31"/>
  <c r="Z26" i="31"/>
  <c r="Z27" i="31" s="1"/>
  <c r="AB28" i="31"/>
  <c r="H26" i="31"/>
  <c r="H27" i="31" s="1"/>
  <c r="J28" i="31"/>
  <c r="M28" i="31"/>
  <c r="AH28" i="31"/>
  <c r="I28" i="31"/>
  <c r="G26" i="31"/>
  <c r="G27" i="31" s="1"/>
  <c r="AJ28" i="31"/>
  <c r="R28" i="31"/>
  <c r="I26" i="31"/>
  <c r="I27" i="31" s="1"/>
  <c r="K28" i="31"/>
  <c r="N26" i="31"/>
  <c r="N27" i="31" s="1"/>
  <c r="P28" i="31"/>
  <c r="B26" i="31"/>
  <c r="B27" i="31" s="1"/>
  <c r="D28" i="31"/>
  <c r="Y26" i="31"/>
  <c r="Y27" i="31" s="1"/>
  <c r="AA28" i="31"/>
  <c r="F26" i="31"/>
  <c r="F27" i="31" s="1"/>
  <c r="H28" i="31"/>
  <c r="AC28" i="31"/>
  <c r="B28" i="31"/>
  <c r="AA26" i="31"/>
  <c r="AA27" i="31" s="1"/>
  <c r="AG28" i="31"/>
  <c r="C28" i="31"/>
  <c r="AB26" i="31"/>
  <c r="AD28" i="31"/>
  <c r="W28" i="31"/>
  <c r="AB27" i="31"/>
  <c r="T28" i="31"/>
  <c r="AM28" i="31"/>
  <c r="C26" i="31"/>
  <c r="C27" i="31" s="1"/>
  <c r="E28" i="31"/>
  <c r="O26" i="31"/>
  <c r="O27" i="31" s="1"/>
  <c r="Q28" i="31"/>
  <c r="N28" i="31"/>
  <c r="L28" i="31"/>
  <c r="AF28" i="31"/>
  <c r="Z28" i="31"/>
  <c r="AP28" i="31"/>
  <c r="X28" i="31"/>
  <c r="S2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1" shapeId="0" xr:uid="{00000000-0006-0000-0200-000002000000}">
      <text>
        <r>
          <rPr>
            <sz val="8"/>
            <color indexed="81"/>
            <rFont val="Tahoma"/>
            <family val="2"/>
          </rPr>
          <t>2 Standard Deviation based on performance Standard</t>
        </r>
      </text>
    </comment>
    <comment ref="A76" authorId="1" shapeId="0" xr:uid="{00000000-0006-0000-0200-000003000000}">
      <text>
        <r>
          <rPr>
            <sz val="8"/>
            <color indexed="81"/>
            <rFont val="Tahoma"/>
            <family val="2"/>
          </rPr>
          <t>1 Standard Deviation based on performance Standard</t>
        </r>
      </text>
    </comment>
    <comment ref="A85" authorId="0" shapeId="0" xr:uid="{00000000-0006-0000-0200-000004000000}">
      <text>
        <r>
          <rPr>
            <b/>
            <sz val="8"/>
            <color indexed="81"/>
            <rFont val="Tahoma"/>
            <family val="2"/>
          </rPr>
          <t>michael.fleetwood:</t>
        </r>
        <r>
          <rPr>
            <sz val="8"/>
            <color indexed="81"/>
            <rFont val="Tahoma"/>
            <family val="2"/>
          </rPr>
          <t xml:space="preserve">
Values from HSM 60R T&amp;R</t>
        </r>
      </text>
    </comment>
    <comment ref="E101" authorId="2" shapeId="0" xr:uid="{00000000-0006-0000-0200-000005000000}">
      <text>
        <r>
          <rPr>
            <b/>
            <sz val="8"/>
            <color indexed="81"/>
            <rFont val="Tahoma"/>
            <family val="2"/>
          </rPr>
          <t>russell.w.scott:</t>
        </r>
        <r>
          <rPr>
            <sz val="8"/>
            <color indexed="81"/>
            <rFont val="Tahoma"/>
            <family val="2"/>
          </rPr>
          <t xml:space="preserve">
SFARP</t>
        </r>
      </text>
    </comment>
    <comment ref="J101" authorId="2" shapeId="0" xr:uid="{00000000-0006-0000-0200-000006000000}">
      <text>
        <r>
          <rPr>
            <b/>
            <sz val="8"/>
            <color indexed="81"/>
            <rFont val="Tahoma"/>
            <family val="2"/>
          </rPr>
          <t>russell.w.scott:</t>
        </r>
        <r>
          <rPr>
            <sz val="8"/>
            <color indexed="81"/>
            <rFont val="Tahoma"/>
            <family val="2"/>
          </rPr>
          <t xml:space="preserve">
TSTA/FEP</t>
        </r>
      </text>
    </comment>
    <comment ref="K101" authorId="2" shapeId="0" xr:uid="{00000000-0006-0000-0200-000007000000}">
      <text>
        <r>
          <rPr>
            <b/>
            <sz val="8"/>
            <color indexed="81"/>
            <rFont val="Tahoma"/>
            <family val="2"/>
          </rPr>
          <t>russell.w.scott:</t>
        </r>
        <r>
          <rPr>
            <sz val="8"/>
            <color indexed="81"/>
            <rFont val="Tahoma"/>
            <family val="2"/>
          </rPr>
          <t xml:space="preserve">
C2X/Fallon</t>
        </r>
      </text>
    </comment>
    <comment ref="L101" authorId="2" shapeId="0" xr:uid="{00000000-0006-0000-0200-000008000000}">
      <text>
        <r>
          <rPr>
            <b/>
            <sz val="8"/>
            <color indexed="81"/>
            <rFont val="Tahoma"/>
            <family val="2"/>
          </rPr>
          <t>russell.w.scott:</t>
        </r>
        <r>
          <rPr>
            <sz val="8"/>
            <color indexed="81"/>
            <rFont val="Tahoma"/>
            <family val="2"/>
          </rPr>
          <t xml:space="preserve">
C2X/Fallon</t>
        </r>
      </text>
    </comment>
    <comment ref="M101" authorId="2" shapeId="0" xr:uid="{00000000-0006-0000-0200-000009000000}">
      <text>
        <r>
          <rPr>
            <b/>
            <sz val="8"/>
            <color indexed="81"/>
            <rFont val="Tahoma"/>
            <family val="2"/>
          </rPr>
          <t>russell.w.scott:</t>
        </r>
        <r>
          <rPr>
            <sz val="8"/>
            <color indexed="81"/>
            <rFont val="Tahoma"/>
            <family val="2"/>
          </rPr>
          <t xml:space="preserve">
C2X/Fallon</t>
        </r>
      </text>
    </comment>
    <comment ref="P101" authorId="2" shapeId="0" xr:uid="{00000000-0006-0000-0200-00000A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1" shapeId="0" xr:uid="{00000000-0006-0000-0300-000002000000}">
      <text>
        <r>
          <rPr>
            <sz val="8"/>
            <color indexed="81"/>
            <rFont val="Tahoma"/>
            <family val="2"/>
          </rPr>
          <t>2 Standard Deviation based on performance Standard</t>
        </r>
      </text>
    </comment>
    <comment ref="A76" authorId="1" shapeId="0" xr:uid="{00000000-0006-0000-0300-000003000000}">
      <text>
        <r>
          <rPr>
            <sz val="8"/>
            <color indexed="81"/>
            <rFont val="Tahoma"/>
            <family val="2"/>
          </rPr>
          <t>1 Standard Deviation based on performance Standard</t>
        </r>
      </text>
    </comment>
    <comment ref="A85" authorId="0" shapeId="0" xr:uid="{00000000-0006-0000-0300-000004000000}">
      <text>
        <r>
          <rPr>
            <b/>
            <sz val="8"/>
            <color indexed="81"/>
            <rFont val="Tahoma"/>
            <family val="2"/>
          </rPr>
          <t>michael.fleetwood:</t>
        </r>
        <r>
          <rPr>
            <sz val="8"/>
            <color indexed="81"/>
            <rFont val="Tahoma"/>
            <family val="2"/>
          </rPr>
          <t xml:space="preserve">
Values from HSM 60R T&amp;R</t>
        </r>
      </text>
    </comment>
    <comment ref="E101" authorId="2" shapeId="0" xr:uid="{00000000-0006-0000-0300-000005000000}">
      <text>
        <r>
          <rPr>
            <b/>
            <sz val="8"/>
            <color indexed="81"/>
            <rFont val="Tahoma"/>
            <family val="2"/>
          </rPr>
          <t>russell.w.scott:</t>
        </r>
        <r>
          <rPr>
            <sz val="8"/>
            <color indexed="81"/>
            <rFont val="Tahoma"/>
            <family val="2"/>
          </rPr>
          <t xml:space="preserve">
SFARP</t>
        </r>
      </text>
    </comment>
    <comment ref="J101" authorId="2" shapeId="0" xr:uid="{00000000-0006-0000-0300-000006000000}">
      <text>
        <r>
          <rPr>
            <b/>
            <sz val="8"/>
            <color indexed="81"/>
            <rFont val="Tahoma"/>
            <family val="2"/>
          </rPr>
          <t>russell.w.scott:</t>
        </r>
        <r>
          <rPr>
            <sz val="8"/>
            <color indexed="81"/>
            <rFont val="Tahoma"/>
            <family val="2"/>
          </rPr>
          <t xml:space="preserve">
TSTA/FEP</t>
        </r>
      </text>
    </comment>
    <comment ref="K101" authorId="2" shapeId="0" xr:uid="{00000000-0006-0000-0300-000007000000}">
      <text>
        <r>
          <rPr>
            <b/>
            <sz val="8"/>
            <color indexed="81"/>
            <rFont val="Tahoma"/>
            <family val="2"/>
          </rPr>
          <t>russell.w.scott:</t>
        </r>
        <r>
          <rPr>
            <sz val="8"/>
            <color indexed="81"/>
            <rFont val="Tahoma"/>
            <family val="2"/>
          </rPr>
          <t xml:space="preserve">
C2X/Fallon</t>
        </r>
      </text>
    </comment>
    <comment ref="L101" authorId="2" shapeId="0" xr:uid="{00000000-0006-0000-0300-000008000000}">
      <text>
        <r>
          <rPr>
            <b/>
            <sz val="8"/>
            <color indexed="81"/>
            <rFont val="Tahoma"/>
            <family val="2"/>
          </rPr>
          <t>russell.w.scott:</t>
        </r>
        <r>
          <rPr>
            <sz val="8"/>
            <color indexed="81"/>
            <rFont val="Tahoma"/>
            <family val="2"/>
          </rPr>
          <t xml:space="preserve">
C2X/Fallon</t>
        </r>
      </text>
    </comment>
    <comment ref="M101" authorId="2" shapeId="0" xr:uid="{00000000-0006-0000-0300-000009000000}">
      <text>
        <r>
          <rPr>
            <b/>
            <sz val="8"/>
            <color indexed="81"/>
            <rFont val="Tahoma"/>
            <family val="2"/>
          </rPr>
          <t>russell.w.scott:</t>
        </r>
        <r>
          <rPr>
            <sz val="8"/>
            <color indexed="81"/>
            <rFont val="Tahoma"/>
            <family val="2"/>
          </rPr>
          <t xml:space="preserve">
C2X/Fallon</t>
        </r>
      </text>
    </comment>
    <comment ref="P101" authorId="2" shapeId="0" xr:uid="{00000000-0006-0000-0300-00000A000000}">
      <text>
        <r>
          <rPr>
            <b/>
            <sz val="8"/>
            <color indexed="81"/>
            <rFont val="Tahoma"/>
            <family val="2"/>
          </rPr>
          <t>russell.w.scott:</t>
        </r>
        <r>
          <rPr>
            <sz val="8"/>
            <color indexed="81"/>
            <rFont val="Tahoma"/>
            <family val="2"/>
          </rPr>
          <t xml:space="preserve">
Pre-deployment at sea sustainment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A30" authorId="0" shapeId="0" xr:uid="{00000000-0006-0000-0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1" shapeId="0" xr:uid="{00000000-0006-0000-0400-000002000000}">
      <text>
        <r>
          <rPr>
            <sz val="8"/>
            <color indexed="81"/>
            <rFont val="Tahoma"/>
            <family val="2"/>
          </rPr>
          <t>2 Standard Deviation based on performance Standard</t>
        </r>
      </text>
    </comment>
    <comment ref="A76" authorId="1" shapeId="0" xr:uid="{00000000-0006-0000-0400-000003000000}">
      <text>
        <r>
          <rPr>
            <sz val="8"/>
            <color indexed="81"/>
            <rFont val="Tahoma"/>
            <family val="2"/>
          </rPr>
          <t>1 Standard Deviation based on performance Standard</t>
        </r>
      </text>
    </comment>
    <comment ref="A85" authorId="0" shapeId="0" xr:uid="{00000000-0006-0000-0400-000004000000}">
      <text>
        <r>
          <rPr>
            <b/>
            <sz val="8"/>
            <color indexed="81"/>
            <rFont val="Tahoma"/>
            <family val="2"/>
          </rPr>
          <t>michael.fleetwood:</t>
        </r>
        <r>
          <rPr>
            <sz val="8"/>
            <color indexed="81"/>
            <rFont val="Tahoma"/>
            <family val="2"/>
          </rPr>
          <t xml:space="preserve">
Values from HSM 60R T&amp;R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michael.hammond</author>
    <author>michael.fleetwood</author>
    <author>Home</author>
  </authors>
  <commentList>
    <comment ref="B5" authorId="0" shapeId="0" xr:uid="{00000000-0006-0000-0500-000001000000}">
      <text>
        <r>
          <rPr>
            <b/>
            <sz val="10"/>
            <color indexed="81"/>
            <rFont val="Tahoma"/>
            <family val="2"/>
          </rPr>
          <t>Equivalent Sortie Length as per CNAF 3500.1B</t>
        </r>
      </text>
    </comment>
    <comment ref="B6" authorId="1" shapeId="0" xr:uid="{00000000-0006-0000-0500-000002000000}">
      <text>
        <r>
          <rPr>
            <b/>
            <sz val="8"/>
            <color indexed="81"/>
            <rFont val="Tahoma"/>
            <family val="2"/>
          </rPr>
          <t>michael.fleetwood:</t>
        </r>
        <r>
          <rPr>
            <sz val="8"/>
            <color indexed="81"/>
            <rFont val="Tahoma"/>
            <family val="2"/>
          </rPr>
          <t xml:space="preserve">
27.4 per the 3500.1D Encl 14 </t>
        </r>
      </text>
    </comment>
    <comment ref="B7" authorId="0" shapeId="0" xr:uid="{00000000-0006-0000-0500-000003000000}">
      <text>
        <r>
          <rPr>
            <b/>
            <sz val="10"/>
            <color indexed="81"/>
            <rFont val="Tahoma"/>
            <family val="2"/>
          </rPr>
          <t>=B5 (100% T&amp;R hrs) * B3 (# of crews)</t>
        </r>
      </text>
    </comment>
    <comment ref="B8" authorId="0" shapeId="0" xr:uid="{00000000-0006-0000-0500-000004000000}">
      <text>
        <r>
          <rPr>
            <b/>
            <sz val="9"/>
            <color indexed="81"/>
            <rFont val="Tahoma"/>
            <family val="2"/>
          </rPr>
          <t>= B6 (100% trng hrs) / B4 (ESL)</t>
        </r>
      </text>
    </comment>
    <comment ref="C9" authorId="0" shapeId="0" xr:uid="{00000000-0006-0000-0500-000005000000}">
      <text>
        <r>
          <rPr>
            <b/>
            <sz val="10"/>
            <color indexed="81"/>
            <rFont val="Tahoma"/>
            <family val="2"/>
          </rPr>
          <t>Shore MESH according to FHP</t>
        </r>
      </text>
    </comment>
    <comment ref="C10" authorId="0" shapeId="0" xr:uid="{00000000-0006-0000-0500-000006000000}">
      <text>
        <r>
          <rPr>
            <b/>
            <sz val="10"/>
            <color indexed="81"/>
            <rFont val="Tahoma"/>
            <family val="2"/>
          </rPr>
          <t>Underway MESH according to FHP:
   - 19.26 for CD Ops
   - 15.76 all others</t>
        </r>
      </text>
    </comment>
    <comment ref="A30" authorId="1" shapeId="0" xr:uid="{00000000-0006-0000-0500-000007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2" shapeId="0" xr:uid="{00000000-0006-0000-0500-000008000000}">
      <text>
        <r>
          <rPr>
            <sz val="8"/>
            <color indexed="81"/>
            <rFont val="Tahoma"/>
            <family val="2"/>
          </rPr>
          <t>2 Standard Deviation based on performance Standard</t>
        </r>
      </text>
    </comment>
    <comment ref="A76" authorId="2" shapeId="0" xr:uid="{00000000-0006-0000-0500-000009000000}">
      <text>
        <r>
          <rPr>
            <sz val="8"/>
            <color indexed="81"/>
            <rFont val="Tahoma"/>
            <family val="2"/>
          </rPr>
          <t>1 Standard Deviation based on performance Standard</t>
        </r>
      </text>
    </comment>
    <comment ref="A85" authorId="1" shapeId="0" xr:uid="{00000000-0006-0000-0500-00000A000000}">
      <text>
        <r>
          <rPr>
            <b/>
            <sz val="8"/>
            <color indexed="81"/>
            <rFont val="Tahoma"/>
            <family val="2"/>
          </rPr>
          <t>michael.fleetwood:</t>
        </r>
        <r>
          <rPr>
            <sz val="8"/>
            <color indexed="81"/>
            <rFont val="Tahoma"/>
            <family val="2"/>
          </rPr>
          <t xml:space="preserve">
Values from HSM 60R T&amp;R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michael.hammond</author>
    <author>michael.fleetwood</author>
    <author>Home</author>
  </authors>
  <commentList>
    <comment ref="B5" authorId="0" shapeId="0" xr:uid="{00000000-0006-0000-0600-000001000000}">
      <text>
        <r>
          <rPr>
            <b/>
            <sz val="10"/>
            <color indexed="81"/>
            <rFont val="Tahoma"/>
            <family val="2"/>
          </rPr>
          <t>Equivalent Sortie Length as per CNAF 3500.1B</t>
        </r>
      </text>
    </comment>
    <comment ref="B6" authorId="1" shapeId="0" xr:uid="{00000000-0006-0000-0600-000002000000}">
      <text>
        <r>
          <rPr>
            <b/>
            <sz val="8"/>
            <color indexed="81"/>
            <rFont val="Tahoma"/>
            <family val="2"/>
          </rPr>
          <t>michael.fleetwood:</t>
        </r>
        <r>
          <rPr>
            <sz val="8"/>
            <color indexed="81"/>
            <rFont val="Tahoma"/>
            <family val="2"/>
          </rPr>
          <t xml:space="preserve">
27.4 per the 3500.1D Encl 14 </t>
        </r>
      </text>
    </comment>
    <comment ref="B7" authorId="0" shapeId="0" xr:uid="{00000000-0006-0000-0600-000003000000}">
      <text>
        <r>
          <rPr>
            <b/>
            <sz val="10"/>
            <color indexed="81"/>
            <rFont val="Tahoma"/>
            <family val="2"/>
          </rPr>
          <t>=B5 (100% T&amp;R hrs) * B3 (# of crews)</t>
        </r>
      </text>
    </comment>
    <comment ref="B8" authorId="0" shapeId="0" xr:uid="{00000000-0006-0000-0600-000004000000}">
      <text>
        <r>
          <rPr>
            <b/>
            <sz val="9"/>
            <color indexed="81"/>
            <rFont val="Tahoma"/>
            <family val="2"/>
          </rPr>
          <t>= B6 (100% trng hrs) / B4 (ESL)</t>
        </r>
      </text>
    </comment>
    <comment ref="C9" authorId="0" shapeId="0" xr:uid="{00000000-0006-0000-0600-000005000000}">
      <text>
        <r>
          <rPr>
            <b/>
            <sz val="10"/>
            <color indexed="81"/>
            <rFont val="Tahoma"/>
            <family val="2"/>
          </rPr>
          <t>Shore MESH according to FHP</t>
        </r>
      </text>
    </comment>
    <comment ref="C10" authorId="0" shapeId="0" xr:uid="{00000000-0006-0000-0600-000006000000}">
      <text>
        <r>
          <rPr>
            <b/>
            <sz val="10"/>
            <color indexed="81"/>
            <rFont val="Tahoma"/>
            <family val="2"/>
          </rPr>
          <t>Underway MESH according to FHP:
   - 19.26 for CD Ops
   - 15.76 all others</t>
        </r>
      </text>
    </comment>
    <comment ref="A30" authorId="1" shapeId="0" xr:uid="{00000000-0006-0000-0600-000007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2" shapeId="0" xr:uid="{00000000-0006-0000-0600-000008000000}">
      <text>
        <r>
          <rPr>
            <sz val="8"/>
            <color indexed="81"/>
            <rFont val="Tahoma"/>
            <family val="2"/>
          </rPr>
          <t>2 Standard Deviation based on performance Standard</t>
        </r>
      </text>
    </comment>
    <comment ref="A76" authorId="2" shapeId="0" xr:uid="{00000000-0006-0000-0600-000009000000}">
      <text>
        <r>
          <rPr>
            <sz val="8"/>
            <color indexed="81"/>
            <rFont val="Tahoma"/>
            <family val="2"/>
          </rPr>
          <t>1 Standard Deviation based on performance Standard</t>
        </r>
      </text>
    </comment>
    <comment ref="B92" authorId="1" shapeId="0" xr:uid="{00000000-0006-0000-0600-00000A000000}">
      <text>
        <r>
          <rPr>
            <b/>
            <sz val="8"/>
            <color indexed="81"/>
            <rFont val="Tahoma"/>
            <family val="2"/>
          </rPr>
          <t>michael.fleetwood:</t>
        </r>
        <r>
          <rPr>
            <sz val="8"/>
            <color indexed="81"/>
            <rFont val="Tahoma"/>
            <family val="2"/>
          </rPr>
          <t xml:space="preserve">
Values from the 3500.1D Encl 14 HSM MH-60R FDNF Deploy 2 Acft T&amp;R are incorrect (max across all NTA) (need updated T&amp;R based on email conversation with Rick Escamilla 4 April 2013)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7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1" shapeId="0" xr:uid="{00000000-0006-0000-0700-000002000000}">
      <text>
        <r>
          <rPr>
            <sz val="8"/>
            <color indexed="81"/>
            <rFont val="Tahoma"/>
            <family val="2"/>
          </rPr>
          <t>2 Standard Deviation based on performance Standard</t>
        </r>
      </text>
    </comment>
    <comment ref="A76" authorId="1" shapeId="0" xr:uid="{00000000-0006-0000-0700-000003000000}">
      <text>
        <r>
          <rPr>
            <sz val="8"/>
            <color indexed="81"/>
            <rFont val="Tahoma"/>
            <family val="2"/>
          </rPr>
          <t>1 Standard Deviation based on performance Standard</t>
        </r>
      </text>
    </comment>
    <comment ref="A85" authorId="0" shapeId="0" xr:uid="{00000000-0006-0000-0700-000004000000}">
      <text>
        <r>
          <rPr>
            <b/>
            <sz val="8"/>
            <color indexed="81"/>
            <rFont val="Tahoma"/>
            <family val="2"/>
          </rPr>
          <t>michael.fleetwood:</t>
        </r>
        <r>
          <rPr>
            <sz val="8"/>
            <color indexed="81"/>
            <rFont val="Tahoma"/>
            <family val="2"/>
          </rPr>
          <t xml:space="preserve">
Values from HSM 60R T&amp;R</t>
        </r>
      </text>
    </comment>
    <comment ref="E101" authorId="2" shapeId="0" xr:uid="{00000000-0006-0000-0700-000005000000}">
      <text>
        <r>
          <rPr>
            <b/>
            <sz val="8"/>
            <color indexed="81"/>
            <rFont val="Tahoma"/>
            <family val="2"/>
          </rPr>
          <t>russell.w.scott:</t>
        </r>
        <r>
          <rPr>
            <sz val="8"/>
            <color indexed="81"/>
            <rFont val="Tahoma"/>
            <family val="2"/>
          </rPr>
          <t xml:space="preserve">
SFARP</t>
        </r>
      </text>
    </comment>
    <comment ref="J101" authorId="2" shapeId="0" xr:uid="{00000000-0006-0000-0700-000006000000}">
      <text>
        <r>
          <rPr>
            <b/>
            <sz val="8"/>
            <color indexed="81"/>
            <rFont val="Tahoma"/>
            <family val="2"/>
          </rPr>
          <t>russell.w.scott:</t>
        </r>
        <r>
          <rPr>
            <sz val="8"/>
            <color indexed="81"/>
            <rFont val="Tahoma"/>
            <family val="2"/>
          </rPr>
          <t xml:space="preserve">
TSTA/FEP</t>
        </r>
      </text>
    </comment>
    <comment ref="K101" authorId="2" shapeId="0" xr:uid="{00000000-0006-0000-0700-000007000000}">
      <text>
        <r>
          <rPr>
            <b/>
            <sz val="8"/>
            <color indexed="81"/>
            <rFont val="Tahoma"/>
            <family val="2"/>
          </rPr>
          <t>russell.w.scott:</t>
        </r>
        <r>
          <rPr>
            <sz val="8"/>
            <color indexed="81"/>
            <rFont val="Tahoma"/>
            <family val="2"/>
          </rPr>
          <t xml:space="preserve">
C2X/Fallon</t>
        </r>
      </text>
    </comment>
    <comment ref="L101" authorId="2" shapeId="0" xr:uid="{00000000-0006-0000-0700-000008000000}">
      <text>
        <r>
          <rPr>
            <b/>
            <sz val="8"/>
            <color indexed="81"/>
            <rFont val="Tahoma"/>
            <family val="2"/>
          </rPr>
          <t>russell.w.scott:</t>
        </r>
        <r>
          <rPr>
            <sz val="8"/>
            <color indexed="81"/>
            <rFont val="Tahoma"/>
            <family val="2"/>
          </rPr>
          <t xml:space="preserve">
C2X/Fallon</t>
        </r>
      </text>
    </comment>
    <comment ref="M101" authorId="2" shapeId="0" xr:uid="{00000000-0006-0000-0700-000009000000}">
      <text>
        <r>
          <rPr>
            <b/>
            <sz val="8"/>
            <color indexed="81"/>
            <rFont val="Tahoma"/>
            <family val="2"/>
          </rPr>
          <t>russell.w.scott:</t>
        </r>
        <r>
          <rPr>
            <sz val="8"/>
            <color indexed="81"/>
            <rFont val="Tahoma"/>
            <family val="2"/>
          </rPr>
          <t xml:space="preserve">
C2X/Fallon</t>
        </r>
      </text>
    </comment>
    <comment ref="P101" authorId="2" shapeId="0" xr:uid="{00000000-0006-0000-0700-00000A000000}">
      <text>
        <r>
          <rPr>
            <b/>
            <sz val="8"/>
            <color indexed="81"/>
            <rFont val="Tahoma"/>
            <family val="2"/>
          </rPr>
          <t>russell.w.scott:</t>
        </r>
        <r>
          <rPr>
            <sz val="8"/>
            <color indexed="81"/>
            <rFont val="Tahoma"/>
            <family val="2"/>
          </rPr>
          <t xml:space="preserve">
Pre-deployment at sea sustainment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8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5" authorId="1" shapeId="0" xr:uid="{00000000-0006-0000-0800-000002000000}">
      <text>
        <r>
          <rPr>
            <sz val="8"/>
            <color indexed="81"/>
            <rFont val="Tahoma"/>
            <family val="2"/>
          </rPr>
          <t>2 Standard Deviation based on performance Standard</t>
        </r>
      </text>
    </comment>
    <comment ref="A76" authorId="1" shapeId="0" xr:uid="{00000000-0006-0000-0800-000003000000}">
      <text>
        <r>
          <rPr>
            <sz val="8"/>
            <color indexed="81"/>
            <rFont val="Tahoma"/>
            <family val="2"/>
          </rPr>
          <t>1 Standard Deviation based on performance Standard</t>
        </r>
      </text>
    </comment>
    <comment ref="A85" authorId="0" shapeId="0" xr:uid="{00000000-0006-0000-0800-000004000000}">
      <text>
        <r>
          <rPr>
            <b/>
            <sz val="8"/>
            <color indexed="81"/>
            <rFont val="Tahoma"/>
            <family val="2"/>
          </rPr>
          <t>michael.fleetwood:</t>
        </r>
        <r>
          <rPr>
            <sz val="8"/>
            <color indexed="81"/>
            <rFont val="Tahoma"/>
            <family val="2"/>
          </rPr>
          <t xml:space="preserve">
Values from HSM 60R T&amp;R</t>
        </r>
      </text>
    </comment>
    <comment ref="E101" authorId="2" shapeId="0" xr:uid="{00000000-0006-0000-0800-000005000000}">
      <text>
        <r>
          <rPr>
            <b/>
            <sz val="8"/>
            <color indexed="81"/>
            <rFont val="Tahoma"/>
            <family val="2"/>
          </rPr>
          <t>russell.w.scott:</t>
        </r>
        <r>
          <rPr>
            <sz val="8"/>
            <color indexed="81"/>
            <rFont val="Tahoma"/>
            <family val="2"/>
          </rPr>
          <t xml:space="preserve">
SFARP</t>
        </r>
      </text>
    </comment>
    <comment ref="J101" authorId="2" shapeId="0" xr:uid="{00000000-0006-0000-0800-000006000000}">
      <text>
        <r>
          <rPr>
            <b/>
            <sz val="8"/>
            <color indexed="81"/>
            <rFont val="Tahoma"/>
            <family val="2"/>
          </rPr>
          <t>russell.w.scott:</t>
        </r>
        <r>
          <rPr>
            <sz val="8"/>
            <color indexed="81"/>
            <rFont val="Tahoma"/>
            <family val="2"/>
          </rPr>
          <t xml:space="preserve">
TSTA/FEP</t>
        </r>
      </text>
    </comment>
    <comment ref="K101" authorId="2" shapeId="0" xr:uid="{00000000-0006-0000-0800-000007000000}">
      <text>
        <r>
          <rPr>
            <b/>
            <sz val="8"/>
            <color indexed="81"/>
            <rFont val="Tahoma"/>
            <family val="2"/>
          </rPr>
          <t>russell.w.scott:</t>
        </r>
        <r>
          <rPr>
            <sz val="8"/>
            <color indexed="81"/>
            <rFont val="Tahoma"/>
            <family val="2"/>
          </rPr>
          <t xml:space="preserve">
C2X/Fallon</t>
        </r>
      </text>
    </comment>
    <comment ref="L101" authorId="2" shapeId="0" xr:uid="{00000000-0006-0000-0800-000008000000}">
      <text>
        <r>
          <rPr>
            <b/>
            <sz val="8"/>
            <color indexed="81"/>
            <rFont val="Tahoma"/>
            <family val="2"/>
          </rPr>
          <t>russell.w.scott:</t>
        </r>
        <r>
          <rPr>
            <sz val="8"/>
            <color indexed="81"/>
            <rFont val="Tahoma"/>
            <family val="2"/>
          </rPr>
          <t xml:space="preserve">
C2X/Fallon</t>
        </r>
      </text>
    </comment>
    <comment ref="M101" authorId="2" shapeId="0" xr:uid="{00000000-0006-0000-0800-000009000000}">
      <text>
        <r>
          <rPr>
            <b/>
            <sz val="8"/>
            <color indexed="81"/>
            <rFont val="Tahoma"/>
            <family val="2"/>
          </rPr>
          <t>russell.w.scott:</t>
        </r>
        <r>
          <rPr>
            <sz val="8"/>
            <color indexed="81"/>
            <rFont val="Tahoma"/>
            <family val="2"/>
          </rPr>
          <t xml:space="preserve">
C2X/Fallon</t>
        </r>
      </text>
    </comment>
    <comment ref="P101" authorId="2" shapeId="0" xr:uid="{00000000-0006-0000-0800-00000A000000}">
      <text>
        <r>
          <rPr>
            <b/>
            <sz val="8"/>
            <color indexed="81"/>
            <rFont val="Tahoma"/>
            <family val="2"/>
          </rPr>
          <t>russell.w.scott:</t>
        </r>
        <r>
          <rPr>
            <sz val="8"/>
            <color indexed="81"/>
            <rFont val="Tahoma"/>
            <family val="2"/>
          </rPr>
          <t xml:space="preserve">
Pre-deployment at sea sustainment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michael.fleetwood</author>
  </authors>
  <commentList>
    <comment ref="B2" authorId="0" shapeId="0" xr:uid="{00000000-0006-0000-0900-000001000000}">
      <text>
        <r>
          <rPr>
            <sz val="9"/>
            <color indexed="81"/>
            <rFont val="Tahoma"/>
            <family val="2"/>
          </rPr>
          <t>APDF Ver 136</t>
        </r>
      </text>
    </comment>
    <comment ref="B16" authorId="1" shapeId="0" xr:uid="{00000000-0006-0000-0900-000002000000}">
      <text>
        <r>
          <rPr>
            <b/>
            <sz val="8"/>
            <color indexed="81"/>
            <rFont val="Tahoma"/>
            <family val="2"/>
          </rPr>
          <t>michael.fleetwood:</t>
        </r>
        <r>
          <rPr>
            <sz val="8"/>
            <color indexed="81"/>
            <rFont val="Tahoma"/>
            <family val="2"/>
          </rPr>
          <t xml:space="preserve">
FY-23 NAPP</t>
        </r>
      </text>
    </comment>
    <comment ref="A29" authorId="0" shapeId="0" xr:uid="{00000000-0006-0000-0900-000003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michael.fleetwood</author>
  </authors>
  <commentList>
    <comment ref="B2" authorId="0" shapeId="0" xr:uid="{00000000-0006-0000-0A00-000001000000}">
      <text>
        <r>
          <rPr>
            <sz val="9"/>
            <color indexed="81"/>
            <rFont val="Tahoma"/>
            <family val="2"/>
          </rPr>
          <t>APDF Ver 136</t>
        </r>
      </text>
    </comment>
    <comment ref="B16" authorId="1" shapeId="0" xr:uid="{00000000-0006-0000-0A00-000002000000}">
      <text>
        <r>
          <rPr>
            <b/>
            <sz val="8"/>
            <color indexed="81"/>
            <rFont val="Tahoma"/>
            <family val="2"/>
          </rPr>
          <t>michael.fleetwood:</t>
        </r>
        <r>
          <rPr>
            <sz val="8"/>
            <color indexed="81"/>
            <rFont val="Tahoma"/>
            <family val="2"/>
          </rPr>
          <t xml:space="preserve">
FY-23 NAPP</t>
        </r>
      </text>
    </comment>
    <comment ref="A29" authorId="0" shapeId="0" xr:uid="{00000000-0006-0000-0A00-000003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A32" authorId="0" shapeId="0" xr:uid="{00000000-0006-0000-0B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6" authorId="0" shapeId="0" xr:uid="{00000000-0006-0000-0E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6" authorId="0" shapeId="0" xr:uid="{00000000-0006-0000-0E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91" authorId="0" shapeId="0" xr:uid="{00000000-0006-0000-0E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<sst xmlns="http://schemas.openxmlformats.org/spreadsheetml/2006/main" count="1998" uniqueCount="365">
  <si>
    <t>Standard Name</t>
  </si>
  <si>
    <t>ID</t>
  </si>
  <si>
    <t>Rev</t>
  </si>
  <si>
    <t>AMFOM</t>
  </si>
  <si>
    <t>Readiness Standards HSM MH-60R CVW 5 plane - 10 crew</t>
  </si>
  <si>
    <t>Deleted</t>
  </si>
  <si>
    <t>Note:  'NEW' Standards are less than 90 Days old</t>
  </si>
  <si>
    <t>Date</t>
  </si>
  <si>
    <t>Standard</t>
  </si>
  <si>
    <t>Change Summary</t>
  </si>
  <si>
    <t>All HSM MH-60R</t>
  </si>
  <si>
    <t>Created DRRS-N based readiness profile</t>
  </si>
  <si>
    <t>MH-60R FDNF 1 and 2 Plane</t>
  </si>
  <si>
    <t>New Standards</t>
  </si>
  <si>
    <t>All</t>
  </si>
  <si>
    <t>Added Simulator Support Hours</t>
  </si>
  <si>
    <t>Removed GAU-21, M240, and CATM from standards.  Will be tracked in EOC Codes</t>
  </si>
  <si>
    <t>MH-60R CVW11 Plane 20 Crew DRRS</t>
  </si>
  <si>
    <t>Updated Average Training Readiness Profile per CHSMWL direction to match other standards</t>
  </si>
  <si>
    <t>MH-60R FDNF 2 plane-3 crew DRRS</t>
  </si>
  <si>
    <t>Updated ALFS values for Deployed months to match other FDNF standard logic.</t>
  </si>
  <si>
    <t>HSM FRS (U)</t>
  </si>
  <si>
    <t>Updated FRS Standards</t>
  </si>
  <si>
    <t>MH-60R CVW 5 Plane 10 Crew</t>
  </si>
  <si>
    <t>Corrected Crews from 11 to 10. Updated ACTC values to match current T&amp;R</t>
  </si>
  <si>
    <t xml:space="preserve">Corrected/added standard formulas in the Aircrew Manning and Crews section for ACTC requrements across several levels.  </t>
  </si>
  <si>
    <t>MH-60R Mission Systems</t>
  </si>
  <si>
    <t>Updated to match 2 June 2017 MESM - Removed Guns from Non-Integrated Mission Systems - see 1-Jan-15 Log entry</t>
  </si>
  <si>
    <t>Changed POM and PDL RBA and Mission System requirements to match a typical Sustain month per Air Boss Direction</t>
  </si>
  <si>
    <t>Removed RBA/RFT and associated logic - CVW/CVW-5 FDNF updated to new 3510.11C FL percentage standard, EXPED percentages unchanged from RFT Standard version</t>
  </si>
  <si>
    <t>Added EOC L code: Ready IMC Flight Mission Systems (L), set equal to MC %</t>
  </si>
  <si>
    <t>Added Squadron Manning standards: Rating Fit/Fill, NEC Fit, and MPR</t>
  </si>
  <si>
    <t>All AMFOM</t>
  </si>
  <si>
    <t>Updated AMFOM Standards to remove RBA and replace with MC and added EOC (L)</t>
  </si>
  <si>
    <t>Navy MH-60S TMS NTA to Mission System Map</t>
  </si>
  <si>
    <t>Deleted Legacy NTA Map</t>
  </si>
  <si>
    <t>All CVW (not FDNF or Exped)</t>
  </si>
  <si>
    <t>Changed R+10 to Adanced Phase</t>
  </si>
  <si>
    <t>CVW FDNF</t>
  </si>
  <si>
    <t>Updated R+10-12 to 'Sustain'</t>
  </si>
  <si>
    <t>Updated to include FMC and Mission System values from ARC-N</t>
  </si>
  <si>
    <t>Removed Conduct NTA 3.2.8 Fire Support - matches T&amp;R v2209021</t>
  </si>
  <si>
    <t>Updated 100% T&amp;R and Sim Fidelity</t>
  </si>
  <si>
    <t>Readiness Standards HSM MH-60R CVW 11 plane - 20 crew</t>
  </si>
  <si>
    <t>Inventory</t>
  </si>
  <si>
    <t>Rev:</t>
  </si>
  <si>
    <t>ID:</t>
  </si>
  <si>
    <t>PAA =</t>
  </si>
  <si>
    <t>Non-Integrated Multipliers</t>
  </si>
  <si>
    <t>Crew/Seat Ratio=</t>
  </si>
  <si>
    <t>Maintenance</t>
  </si>
  <si>
    <t>Crews=</t>
  </si>
  <si>
    <t>Basic</t>
  </si>
  <si>
    <t>ESL=</t>
  </si>
  <si>
    <t>Advanced</t>
  </si>
  <si>
    <t>100% T&amp;R Matrix=</t>
  </si>
  <si>
    <t>Integrated</t>
  </si>
  <si>
    <t>100% Training Hours=</t>
  </si>
  <si>
    <t>Sustain</t>
  </si>
  <si>
    <t>100% Training Sorties=</t>
  </si>
  <si>
    <t>Per Crew</t>
  </si>
  <si>
    <t>Deploy</t>
  </si>
  <si>
    <t>Ashore Support Hours=</t>
  </si>
  <si>
    <t>Tactical Hard Deck =</t>
  </si>
  <si>
    <t>*Fixed values are bolded</t>
  </si>
  <si>
    <t>Afloat Support Hours=</t>
  </si>
  <si>
    <t>Sim Fidelity %=</t>
  </si>
  <si>
    <t>Simulator Support Hours=</t>
  </si>
  <si>
    <t>Potential Underway MESH Months</t>
  </si>
  <si>
    <t>FRTP Mode</t>
  </si>
  <si>
    <t>Tactical Hard Deck</t>
  </si>
  <si>
    <t>R+Month</t>
  </si>
  <si>
    <t>R+1</t>
  </si>
  <si>
    <t>R+2</t>
  </si>
  <si>
    <t>R+3</t>
  </si>
  <si>
    <t>R+4</t>
  </si>
  <si>
    <t>R+5</t>
  </si>
  <si>
    <t>R+6</t>
  </si>
  <si>
    <t>R+7</t>
  </si>
  <si>
    <t>R+8</t>
  </si>
  <si>
    <t>R+9</t>
  </si>
  <si>
    <t>R+10</t>
  </si>
  <si>
    <t>R+11</t>
  </si>
  <si>
    <t>R+12</t>
  </si>
  <si>
    <t>R+13</t>
  </si>
  <si>
    <t>R+14</t>
  </si>
  <si>
    <t>R+15</t>
  </si>
  <si>
    <t>POM</t>
  </si>
  <si>
    <t>D+1</t>
  </si>
  <si>
    <t>D+2</t>
  </si>
  <si>
    <t>D+3</t>
  </si>
  <si>
    <t>D+4</t>
  </si>
  <si>
    <t>D+5</t>
  </si>
  <si>
    <t>D+6</t>
  </si>
  <si>
    <t>PDL</t>
  </si>
  <si>
    <t>R+24</t>
  </si>
  <si>
    <t>R+25</t>
  </si>
  <si>
    <t>R+26</t>
  </si>
  <si>
    <t>R+27</t>
  </si>
  <si>
    <t>R+6 M</t>
  </si>
  <si>
    <t>R+7 M</t>
  </si>
  <si>
    <t>R+8 M</t>
  </si>
  <si>
    <t>R+9 M</t>
  </si>
  <si>
    <t>R+10 M</t>
  </si>
  <si>
    <t>R+11 M</t>
  </si>
  <si>
    <t>R+12 M</t>
  </si>
  <si>
    <t>R+13 M</t>
  </si>
  <si>
    <t>R+14 M</t>
  </si>
  <si>
    <t>R+15 M</t>
  </si>
  <si>
    <t>R+24 M</t>
  </si>
  <si>
    <t>R+25 M</t>
  </si>
  <si>
    <t>R+26 M</t>
  </si>
  <si>
    <t>R+27 M</t>
  </si>
  <si>
    <t>R+28</t>
  </si>
  <si>
    <t>FRTP</t>
  </si>
  <si>
    <t>Mission</t>
  </si>
  <si>
    <t>ULT &amp; Depot Mx</t>
  </si>
  <si>
    <t xml:space="preserve">Sustain </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</si>
  <si>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</si>
  <si>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</si>
  <si>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</si>
  <si>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</si>
  <si>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</si>
  <si>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</si>
  <si>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</si>
  <si>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</si>
  <si>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</si>
  <si>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</si>
  <si>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</si>
  <si>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</si>
  <si>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</si>
  <si>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N/A</t>
  </si>
  <si>
    <t>Simulator Hours</t>
  </si>
  <si>
    <t>Simulator Support Hours</t>
  </si>
  <si>
    <t>Aircraft Standards</t>
  </si>
  <si>
    <t>Flightline %</t>
  </si>
  <si>
    <t>MC %</t>
  </si>
  <si>
    <t>FMC%</t>
  </si>
  <si>
    <t>Flightline Standard</t>
  </si>
  <si>
    <t>MC Standard</t>
  </si>
  <si>
    <t>FMC Standard</t>
  </si>
  <si>
    <t>Integrated Mission Systems</t>
  </si>
  <si>
    <t>Ready MH-60R Command Control Communication Mission Systems (C)</t>
  </si>
  <si>
    <t>Ready MH-60R Hawk Link Mission Systems (D)</t>
  </si>
  <si>
    <t>Ready MH-60R ASUW Mission Systems (E)</t>
  </si>
  <si>
    <t>Ready MH-60R ASW Mission Systems (F)</t>
  </si>
  <si>
    <t>Ready MH-60R Ordnance Mission Systems (G)</t>
  </si>
  <si>
    <t>Ready MH-60R Survivability Mission Systems (H)</t>
  </si>
  <si>
    <t>Ready MH-60R Basic Mission Systems (I)</t>
  </si>
  <si>
    <t>Ready MH-60R Extended Mobility Mission Systems (J)</t>
  </si>
  <si>
    <t>Ready MH-60R Shipboard Mission Systems (K)</t>
  </si>
  <si>
    <t>Ready MH-60R IMC Flight Mission Systems (L)</t>
  </si>
  <si>
    <t>Non-Integrated Mission Systems</t>
  </si>
  <si>
    <t xml:space="preserve">Assigned ALFS </t>
  </si>
  <si>
    <t xml:space="preserve">Ready ALFS </t>
  </si>
  <si>
    <t>Aircrew Manning and Crews</t>
  </si>
  <si>
    <t>Squadron Manning</t>
  </si>
  <si>
    <t>Overall Rating Fill</t>
  </si>
  <si>
    <t>Overall Rating Fit</t>
  </si>
  <si>
    <t>Overall NEC Fit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</si>
  <si>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</si>
  <si>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</si>
  <si>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</si>
  <si>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</si>
  <si>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</si>
  <si>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</si>
  <si>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</si>
  <si>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</si>
  <si>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</si>
  <si>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</si>
  <si>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</si>
  <si>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Pilot Upper Limit</t>
  </si>
  <si>
    <t>Pilot Lower Limit</t>
  </si>
  <si>
    <t>Aircrew Upper Limit</t>
  </si>
  <si>
    <t>Aircrew Lower Limit</t>
  </si>
  <si>
    <t>&gt; L4 Pilots</t>
  </si>
  <si>
    <t>&gt; L3 Pilots</t>
  </si>
  <si>
    <t>&gt; L2 Pilots</t>
  </si>
  <si>
    <t>&gt; L1 Pilots</t>
  </si>
  <si>
    <t>&gt; L3 Crewman</t>
  </si>
  <si>
    <t xml:space="preserve">&gt; L2 Crewman </t>
  </si>
  <si>
    <t xml:space="preserve">&gt; L1 Crewman </t>
  </si>
  <si>
    <t>DLQ Current HACS</t>
  </si>
  <si>
    <t>Required Skilled Crews</t>
  </si>
  <si>
    <t>Monthly Variable Hours Assignments</t>
  </si>
  <si>
    <t>Simulator Replacement Month</t>
  </si>
  <si>
    <t>X</t>
  </si>
  <si>
    <t>Afloat Support Hours Assignment</t>
  </si>
  <si>
    <t>DRRS-N AMFOM Standard</t>
  </si>
  <si>
    <t>Green</t>
  </si>
  <si>
    <t>Yellow</t>
  </si>
  <si>
    <t>Red</t>
  </si>
  <si>
    <t>Top</t>
  </si>
  <si>
    <t>Aircraft</t>
  </si>
  <si>
    <t>In Reporting</t>
  </si>
  <si>
    <t>Mission Capable Aircraft (MC)</t>
  </si>
  <si>
    <t>FMC and Mission System Utilization Rates</t>
  </si>
  <si>
    <t>MH-60R 11PAA CVW v220921</t>
  </si>
  <si>
    <t>FMC % of MC</t>
  </si>
  <si>
    <t>Readiness Standards HSM MH-60R CVW 10 plane - 18 crew</t>
  </si>
  <si>
    <t>MH-60R 10PAA CVW v220921</t>
  </si>
  <si>
    <t>Readiness Standards HSM MH-60R FDNF CVW 7 plane - 14 crew</t>
  </si>
  <si>
    <t>ULT &amp; Maint</t>
  </si>
  <si>
    <t>NA</t>
  </si>
  <si>
    <t>MH-60R 7PAA CVW FDNF v220921</t>
  </si>
  <si>
    <t>Readiness Standards HSM MH-60R FDNF 1 plane - 2 crew</t>
  </si>
  <si>
    <t>R+4M</t>
  </si>
  <si>
    <t>R+24M</t>
  </si>
  <si>
    <t>R+27M</t>
  </si>
  <si>
    <t>Deployment</t>
  </si>
  <si>
    <t>Assigned ALFS</t>
  </si>
  <si>
    <t>DLQ Current HACs</t>
  </si>
  <si>
    <t>MH-60R 1PAA EXP v220921</t>
  </si>
  <si>
    <t>Readiness Standards HSM MH-60R FDNF 2 plane - 3 crew</t>
  </si>
  <si>
    <t xml:space="preserve">Ready AFLS </t>
  </si>
  <si>
    <t>MH-60R 2PAA EXP v220921</t>
  </si>
  <si>
    <t>Readiness Standards HSM MH-60R EXP 1 plane - 2 crew</t>
  </si>
  <si>
    <t>Readiness Standards HSM MH-60R EXP 2 plane - 3 crew</t>
  </si>
  <si>
    <t>Readiness Standards HSM MH-60R HSM-40 FRS</t>
  </si>
  <si>
    <t>HSM 40 PAA =</t>
  </si>
  <si>
    <t>FRS</t>
  </si>
  <si>
    <t>A-1</t>
  </si>
  <si>
    <t>FMC %</t>
  </si>
  <si>
    <t>HSM-40</t>
  </si>
  <si>
    <t>Readiness Standards HSM MH-60R HSM-41 FRS</t>
  </si>
  <si>
    <t>HSM 41 PAA =</t>
  </si>
  <si>
    <t>HSM-41</t>
  </si>
  <si>
    <t>Readiness Standards HSM MH-60R Test</t>
  </si>
  <si>
    <t>PAA</t>
  </si>
  <si>
    <t>Unit</t>
  </si>
  <si>
    <t>MH-60R</t>
  </si>
  <si>
    <t>HX-21</t>
  </si>
  <si>
    <t>VX-1</t>
  </si>
  <si>
    <t>Test</t>
  </si>
  <si>
    <t>A+1</t>
  </si>
  <si>
    <t>TEST</t>
  </si>
  <si>
    <t>TMS</t>
  </si>
  <si>
    <t>Mission Systems</t>
  </si>
  <si>
    <t>Navy MH-60S TMS Reduced MET to Mission System Map</t>
  </si>
  <si>
    <t>Ready ALFS</t>
  </si>
  <si>
    <t>MISSION ESSENTIAL TASKS</t>
  </si>
  <si>
    <t>NTA 1.1.2.3.3</t>
  </si>
  <si>
    <t>Conduct Flight Operations</t>
  </si>
  <si>
    <t>NTA 1.4.6</t>
  </si>
  <si>
    <t>Conduct Maritime Interception</t>
  </si>
  <si>
    <t>NTA 2.2.3</t>
  </si>
  <si>
    <t>Perform Tactical Reconnaissance and Surveillance</t>
  </si>
  <si>
    <t>NTA 3.2.1.1</t>
  </si>
  <si>
    <t>Attack Surface Targets</t>
  </si>
  <si>
    <t>NTA 3.2.1.2</t>
  </si>
  <si>
    <t>Attack Submerged Targets</t>
  </si>
  <si>
    <t>NTA 5.5.4</t>
  </si>
  <si>
    <t>Conduct Electronic Warfare Support (ES)</t>
  </si>
  <si>
    <t>NTA 5.6</t>
  </si>
  <si>
    <t>Conduct Acoustic Warfare</t>
  </si>
  <si>
    <t>NTA 6.2</t>
  </si>
  <si>
    <t xml:space="preserve">Rescue and Recover </t>
  </si>
  <si>
    <t>MH-60R Mission System Utilization per Flight Task</t>
  </si>
  <si>
    <t>Tab Inventory</t>
  </si>
  <si>
    <t>Mission System Groups HSM MH-60R</t>
  </si>
  <si>
    <t>** MESM:</t>
  </si>
  <si>
    <t>Integrated Aircraft Mission Systems Configuration</t>
  </si>
  <si>
    <t>COMMUNITY</t>
  </si>
  <si>
    <t>TMS AFFECTED</t>
  </si>
  <si>
    <t>Mission System Group</t>
  </si>
  <si>
    <t xml:space="preserve">COMPONENTS/SYSTEMS/ MESM CODES </t>
  </si>
  <si>
    <t>HSM</t>
  </si>
  <si>
    <t>Ready Command Control Communication Mission Systems (C Codes)</t>
  </si>
  <si>
    <t>AUDIO MANAGEMENT COMPUTER (AMC) W/LINK-16 J-VOICE</t>
  </si>
  <si>
    <t>INTERFERENCE BLANKER</t>
  </si>
  <si>
    <t>INTERNAL COMMUNICATION SYSTEM (ABOVE MINIMUM CREW REQUIREMENT)</t>
  </si>
  <si>
    <t xml:space="preserve">LINK 16 MULTI-FUNCTIONAL INFORMATIONAL DISTRIBUTION SYSTEM </t>
  </si>
  <si>
    <t>MULTI-FUNCTION RADIO (ARC-210) (2 REQUIRED)</t>
  </si>
  <si>
    <t>Ready Hawk Link Mission Systems (D Codes)</t>
  </si>
  <si>
    <t>COMSEC (KG-45/KG-45A)</t>
  </si>
  <si>
    <t>COPMSEC (KGV-135A)</t>
  </si>
  <si>
    <t xml:space="preserve">DATA LINK SYSTEM </t>
  </si>
  <si>
    <t>Ready ASUW Mission Systems (E Codes)</t>
  </si>
  <si>
    <t>MULTI-SPECTRAL TARGETING SYSTEM (MTS)</t>
  </si>
  <si>
    <t>MULTI-MODE RADAR (INCLUDING IFF INTERROGATOR)</t>
  </si>
  <si>
    <t>Ready ASW Mission Systems (F Codes)</t>
  </si>
  <si>
    <t>SOFTWARE DEFINED SONOBUOY RECEIVER (SDSR)</t>
  </si>
  <si>
    <t>PRE AMPLIFIER UNIT (PAU)</t>
  </si>
  <si>
    <t>ACOUSTIC PROCESSOR</t>
  </si>
  <si>
    <t>AFCS (HOVER/COUPLER INCLUDING CABLE ANGLE)</t>
  </si>
  <si>
    <t>ALFS (AQS-22) (INCLUDE EXPLOSIVE DEVICES)</t>
  </si>
  <si>
    <t>DIRECTION FINDER GROUP ON TOP POSITION INDICATOR (OTPI)</t>
  </si>
  <si>
    <t>SONO RECEIVER (ARR-84) (MINIMUM 4 RECEIVER CHANNELS)</t>
  </si>
  <si>
    <t>SONOBUOY LAUNCHER</t>
  </si>
  <si>
    <t>UTILITY HYDRAULIC PUMP</t>
  </si>
  <si>
    <t>Ready Ordnance Mission Systems (G Codes)</t>
  </si>
  <si>
    <t>ARMAMENT CONTROL</t>
  </si>
  <si>
    <t xml:space="preserve">CREW SERVED WEAPONS </t>
  </si>
  <si>
    <t>EMERGENCY/SELECT JETTISON PANEL</t>
  </si>
  <si>
    <t>EXTENDED PYLON(S) WITH BRU-14 (INCLUDING EXPLOSIVE DEVICES)</t>
  </si>
  <si>
    <t>HELLFIRE MISSILE LAUNCHER (M-299)</t>
  </si>
  <si>
    <t>INTERFACE UNIT AUTOMATIC DATA PROCESSOR (IUADP) (ONE PER BRU STATION AND CABIN)</t>
  </si>
  <si>
    <t>STORES MANAGEMENT SIGNAL DATA CONVERTER</t>
  </si>
  <si>
    <t>STORES RACK (BRU-14/A) (INCLUDING EXPLOSIVE DEVICES)</t>
  </si>
  <si>
    <t>TORPEDO SYSTEMS</t>
  </si>
  <si>
    <t>Ready Survivability Mission Systems (H Codes)</t>
  </si>
  <si>
    <t xml:space="preserve">COUNTERMEASURES DISPENSING SYSTEM </t>
  </si>
  <si>
    <t xml:space="preserve">INFRARED COUNTERMEASURES SET </t>
  </si>
  <si>
    <t>MISSILE WARNING SYSTEM</t>
  </si>
  <si>
    <t>Ready Basic Mission Systems (I Codes)</t>
  </si>
  <si>
    <t>AVIONICS COOLING FANS (2 REQUIRED)</t>
  </si>
  <si>
    <t>CARGO HOOK (INCLUDING EXPLOSIVE DEVICES)(VERTREP ONLY)</t>
  </si>
  <si>
    <t>CLOCK, DIGITAL (SO)</t>
  </si>
  <si>
    <t>ELECTRONIC SUPPORT MEASURES (ESM) SYSTEM</t>
  </si>
  <si>
    <t>EMBEDDED GPS/INS (2 REQUIRED)</t>
  </si>
  <si>
    <t>ENVIRONMENTAL CONTROL SYSTEM</t>
  </si>
  <si>
    <t>IMDS (VIBRATION ANALYSIS FUNCTION ONLY)</t>
  </si>
  <si>
    <t>MISSION DISPLAYS (2 OF 3 REQUIRED)</t>
  </si>
  <si>
    <t xml:space="preserve">TAIL WHEEL SHIMMY DAMPER </t>
  </si>
  <si>
    <t>TERMINAL, DATA PROCESSING (CDU) (SENSOR OPERATOR STATION)</t>
  </si>
  <si>
    <t>TRACKBALL, DATA ENTRY (PD WRA) (3 STATIONS REQUIRED)</t>
  </si>
  <si>
    <t>Ready Extended Mobility Mission Systems (J Codes)</t>
  </si>
  <si>
    <t>AFCS (RADALT OR BARALT HOLD REQUIRED, COUPLED HOVER FUNCTION REQUIRED FOR NIGHT SAR)</t>
  </si>
  <si>
    <t xml:space="preserve">AUX FUEL TANKS </t>
  </si>
  <si>
    <t>HOIST STATION ICS</t>
  </si>
  <si>
    <t>NVD SEARCH LIGHT NVD FORMATION LIGHTING (ALL REQUIRED)</t>
  </si>
  <si>
    <t>RESCUE HOIST (INCLUDING EXPLOSIVE DEVICES)</t>
  </si>
  <si>
    <t>SEARCH LIGHT/HOVER LIGHT/HOIST LIGHT (2 OF 3 REQUIRED FOR NIGHT SAR)</t>
  </si>
  <si>
    <t>TROOP/SO INSTRUCTOR SEATS</t>
  </si>
  <si>
    <t>Ready Shipboard Mission Systems (K Codes)</t>
  </si>
  <si>
    <t>AFCS (RADALT OR BARALT HOLD REQUIRED)</t>
  </si>
  <si>
    <t>EMERGENCY EGRESS LIGHTING SYSTEMS (ALL REQUIRED)</t>
  </si>
  <si>
    <t xml:space="preserve">CABIN ICS (ONE REQUIRED) </t>
  </si>
  <si>
    <t xml:space="preserve">BLADE FOLD </t>
  </si>
  <si>
    <t>DATA TRANSFER SYSTEM</t>
  </si>
  <si>
    <t>FUEL DUMP</t>
  </si>
  <si>
    <t>HIFR</t>
  </si>
  <si>
    <t>LOW ALTITUDE WARNING SYSTEM (LAWS)</t>
  </si>
  <si>
    <t xml:space="preserve">PRESSURE REFUELING </t>
  </si>
  <si>
    <t>PARKING BRAKE</t>
  </si>
  <si>
    <t>RAST INSTALLATION (INCLUDING EXPLOSIVE DEVICES)</t>
  </si>
  <si>
    <t>ROTOR BRAKE</t>
  </si>
  <si>
    <t>SECURE IFF TRANSPONDER (MODE 4 OR 5 REQUIRED)</t>
  </si>
  <si>
    <t>TACAN (1 OF 2 ANTENNAS REQUIRED)</t>
  </si>
  <si>
    <t>TAIL PYLON FOLD</t>
  </si>
  <si>
    <t>TAIL WHEEL LOCK</t>
  </si>
  <si>
    <t>Ready IMC Flight Mission Systems (L Codes)</t>
  </si>
  <si>
    <t>AFCS (SAS 2, TRIM AND AUTOPILOT REQUIRED)</t>
  </si>
  <si>
    <t>BACK-UP INSTRUMENTS (A/S, ATT, BAR ALT, STANBY COMPASS)</t>
  </si>
  <si>
    <t>CLOCK, DIGITAL (COCKPIT)</t>
  </si>
  <si>
    <t>COCKPIT/INSTRUMENT LIGHTING</t>
  </si>
  <si>
    <t>DATA CONCENTRATORS (2 REQUIRED)</t>
  </si>
  <si>
    <t>IFF TRANSPONDER (MODES 3/A, C AND S REQUIRED)</t>
  </si>
  <si>
    <t>NAVIGATION/POSITION LIGHTS (NON-NVG) (3 REQURIED)</t>
  </si>
  <si>
    <t>PITOT HEAT</t>
  </si>
  <si>
    <t>PRIMARY AND BACKUP COMPUTERS (BOTH REQUIRED)</t>
  </si>
  <si>
    <t>RADAR ALTIMETER (ON BOTH FLIGHT DISPLAYS)</t>
  </si>
  <si>
    <t>ROTOR DE-ICE (MAIN/TAIL)</t>
  </si>
  <si>
    <t>SLIP/SKID INDICATOR ON BOTH DISPLAYS</t>
  </si>
  <si>
    <t>TACAN</t>
  </si>
  <si>
    <t>WINDSHIELD ANTI-ICE</t>
  </si>
  <si>
    <t>WINTERIZATION KIT</t>
  </si>
  <si>
    <t>WINDSHIELD WIPER SYSTEM</t>
  </si>
  <si>
    <t>See Definitions</t>
  </si>
  <si>
    <t>Non-Integrated Mission Systems (INVENTORY ITEMS)</t>
  </si>
  <si>
    <t>Mission Systems TOOLS TITLES</t>
  </si>
  <si>
    <t>CONFIGURATIONS THAT APPLY</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</si>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</sst>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0.0%"/>
    <numFmt numFmtId="167" formatCode="[$-409]d\-mmm\-yy;@"/>
  </numFmts>
  <fonts count="69" x14ac:knownFonts="1">
    <font>
      <sz val="10"/>
      <name val="Arial"/>
    </font>
    <font>
      <sz val="11"/>
      <color theme="1"/>
      <name val="Calibri"/>
      <family val="2"/>
      <scheme val="minor"/>
    </font>
    <font>
      <sz val="10"/>
      <name val="Arial"/>
      <family val="2"/>
    </font>
    <font>
      <sz val="8"/>
      <color indexed="81"/>
      <name val="Tahoma"/>
      <family val="2"/>
    </font>
    <font>
      <b/>
      <sz val="8"/>
      <color indexed="81"/>
      <name val="Tahoma"/>
      <family val="2"/>
    </font>
    <font>
      <sz val="8"/>
      <name val="Arial"/>
      <family val="2"/>
    </font>
    <font>
      <sz val="11"/>
      <color theme="1"/>
      <name val="Calibri"/>
      <family val="2"/>
      <scheme val="minor"/>
    </font>
    <font>
      <sz val="14"/>
      <name val="Calibri"/>
      <family val="2"/>
      <scheme val="minor"/>
    </font>
    <font>
      <sz val="8"/>
      <name val="Calibri"/>
      <family val="2"/>
      <scheme val="minor"/>
    </font>
    <font>
      <sz val="9"/>
      <name val="Calibri"/>
      <family val="2"/>
      <scheme val="minor"/>
    </font>
    <font>
      <b/>
      <i/>
      <sz val="10"/>
      <name val="Calibri"/>
      <family val="2"/>
      <scheme val="minor"/>
    </font>
    <font>
      <sz val="9"/>
      <color indexed="10"/>
      <name val="Calibri"/>
      <family val="2"/>
      <scheme val="minor"/>
    </font>
    <font>
      <b/>
      <sz val="9"/>
      <name val="Calibri"/>
      <family val="2"/>
      <scheme val="minor"/>
    </font>
    <font>
      <sz val="9"/>
      <color indexed="8"/>
      <name val="Calibri"/>
      <family val="2"/>
      <scheme val="minor"/>
    </font>
    <font>
      <b/>
      <i/>
      <sz val="9"/>
      <name val="Calibri"/>
      <family val="2"/>
      <scheme val="minor"/>
    </font>
    <font>
      <b/>
      <sz val="8"/>
      <name val="Calibri"/>
      <family val="2"/>
      <scheme val="minor"/>
    </font>
    <font>
      <b/>
      <sz val="14"/>
      <name val="Calibri"/>
      <family val="2"/>
      <scheme val="minor"/>
    </font>
    <font>
      <sz val="10"/>
      <name val="Calibri"/>
      <family val="2"/>
      <scheme val="minor"/>
    </font>
    <font>
      <b/>
      <sz val="9"/>
      <color indexed="12"/>
      <name val="Calibri"/>
      <family val="2"/>
      <scheme val="minor"/>
    </font>
    <font>
      <u/>
      <sz val="10"/>
      <color theme="10"/>
      <name val="Arial"/>
      <family val="2"/>
    </font>
    <font>
      <b/>
      <i/>
      <sz val="11"/>
      <color rgb="FF00CC00"/>
      <name val="Calibri"/>
      <family val="2"/>
      <scheme val="minor"/>
    </font>
    <font>
      <u/>
      <sz val="10"/>
      <color theme="10"/>
      <name val="Calibri"/>
      <family val="2"/>
      <scheme val="minor"/>
    </font>
    <font>
      <b/>
      <i/>
      <sz val="11"/>
      <name val="Calibri"/>
      <family val="2"/>
      <scheme val="minor"/>
    </font>
    <font>
      <sz val="11"/>
      <name val="Calibri"/>
      <family val="2"/>
      <scheme val="minor"/>
    </font>
    <font>
      <u/>
      <sz val="11"/>
      <color theme="10"/>
      <name val="Calibri"/>
      <family val="2"/>
      <scheme val="minor"/>
    </font>
    <font>
      <b/>
      <sz val="11"/>
      <name val="Calibri"/>
      <family val="2"/>
      <scheme val="minor"/>
    </font>
    <font>
      <b/>
      <i/>
      <sz val="11"/>
      <color theme="1"/>
      <name val="Calibri"/>
      <family val="2"/>
      <scheme val="minor"/>
    </font>
    <font>
      <sz val="11"/>
      <color indexed="8"/>
      <name val="Calibri"/>
      <family val="2"/>
    </font>
    <font>
      <b/>
      <i/>
      <sz val="8"/>
      <name val="Calibri"/>
      <family val="2"/>
      <scheme val="minor"/>
    </font>
    <font>
      <b/>
      <sz val="8"/>
      <color indexed="12"/>
      <name val="Calibri"/>
      <family val="2"/>
      <scheme val="minor"/>
    </font>
    <font>
      <sz val="7"/>
      <name val="Calibri"/>
      <family val="2"/>
      <scheme val="minor"/>
    </font>
    <font>
      <b/>
      <sz val="10"/>
      <color indexed="81"/>
      <name val="Tahoma"/>
      <family val="2"/>
    </font>
    <font>
      <b/>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Calibri"/>
      <family val="2"/>
      <scheme val="minor"/>
    </font>
    <font>
      <b/>
      <sz val="12"/>
      <name val="Calibri"/>
      <family val="2"/>
      <scheme val="minor"/>
    </font>
    <font>
      <sz val="8"/>
      <color indexed="55"/>
      <name val="Calibri"/>
      <family val="2"/>
      <scheme val="minor"/>
    </font>
    <font>
      <b/>
      <sz val="8"/>
      <color indexed="55"/>
      <name val="Calibri"/>
      <family val="2"/>
      <scheme val="minor"/>
    </font>
    <font>
      <u/>
      <sz val="11"/>
      <color theme="10"/>
      <name val="Calibri"/>
      <family val="2"/>
    </font>
    <font>
      <sz val="11"/>
      <name val="Calibri"/>
      <family val="2"/>
    </font>
    <font>
      <b/>
      <sz val="10"/>
      <name val="Calibri"/>
      <family val="2"/>
      <scheme val="minor"/>
    </font>
    <font>
      <b/>
      <sz val="16"/>
      <name val="Calibri"/>
      <family val="2"/>
      <scheme val="minor"/>
    </font>
    <font>
      <u/>
      <sz val="10"/>
      <color theme="10"/>
      <name val="Calibri"/>
      <family val="2"/>
    </font>
    <font>
      <b/>
      <sz val="12"/>
      <name val="Arial"/>
      <family val="2"/>
    </font>
    <font>
      <b/>
      <sz val="8"/>
      <name val="Arial"/>
      <family val="2"/>
    </font>
    <font>
      <sz val="9"/>
      <color indexed="81"/>
      <name val="Tahoma"/>
      <family val="2"/>
    </font>
    <font>
      <sz val="8"/>
      <name val="Calibri"/>
      <family val="2"/>
    </font>
    <font>
      <sz val="9"/>
      <name val="Arial"/>
      <family val="2"/>
    </font>
    <font>
      <b/>
      <sz val="12"/>
      <color theme="1"/>
      <name val="Calibri"/>
      <family val="2"/>
      <scheme val="minor"/>
    </font>
    <font>
      <u/>
      <sz val="9"/>
      <color theme="10"/>
      <name val="Calibri"/>
      <family val="2"/>
      <scheme val="minor"/>
    </font>
    <font>
      <b/>
      <sz val="14"/>
      <name val="Arial"/>
      <family val="2"/>
    </font>
    <font>
      <b/>
      <sz val="10"/>
      <color indexed="8"/>
      <name val="Arial"/>
      <family val="2"/>
    </font>
    <font>
      <b/>
      <sz val="10"/>
      <name val="Arial"/>
      <family val="2"/>
    </font>
    <font>
      <b/>
      <sz val="10"/>
      <color theme="1"/>
      <name val="Arial"/>
      <family val="2"/>
    </font>
  </fonts>
  <fills count="3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
      <patternFill patternType="solid">
        <fgColor rgb="FF00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76">
    <xf numFmtId="0" fontId="0" fillId="0" borderId="0"/>
    <xf numFmtId="43" fontId="2" fillId="0" borderId="0" applyFont="0" applyFill="0" applyBorder="0" applyAlignment="0" applyProtection="0"/>
    <xf numFmtId="0" fontId="2" fillId="2" borderId="1">
      <alignment horizontal="center" textRotation="90"/>
    </xf>
    <xf numFmtId="0" fontId="2" fillId="0" borderId="0">
      <alignment textRotation="90"/>
    </xf>
    <xf numFmtId="9" fontId="2" fillId="0" borderId="0" applyFont="0" applyFill="0" applyBorder="0" applyAlignment="0" applyProtection="0"/>
    <xf numFmtId="0" fontId="6" fillId="0" borderId="0"/>
    <xf numFmtId="9"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53"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6" fillId="0" borderId="0"/>
    <xf numFmtId="0" fontId="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33" fillId="24"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31" borderId="0" applyNumberFormat="0" applyBorder="0" applyAlignment="0" applyProtection="0"/>
    <xf numFmtId="0" fontId="34" fillId="15" borderId="0" applyNumberFormat="0" applyBorder="0" applyAlignment="0" applyProtection="0"/>
    <xf numFmtId="0" fontId="35" fillId="32" borderId="44" applyNumberFormat="0" applyAlignment="0" applyProtection="0"/>
    <xf numFmtId="0" fontId="36" fillId="33" borderId="45" applyNumberFormat="0" applyAlignment="0" applyProtection="0"/>
    <xf numFmtId="3" fontId="2" fillId="0" borderId="0"/>
    <xf numFmtId="0" fontId="37" fillId="0" borderId="0" applyNumberFormat="0" applyFill="0" applyBorder="0" applyAlignment="0" applyProtection="0"/>
    <xf numFmtId="0" fontId="38" fillId="16" borderId="0" applyNumberFormat="0" applyBorder="0" applyAlignment="0" applyProtection="0"/>
    <xf numFmtId="0" fontId="39" fillId="0" borderId="46"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2" fillId="19" borderId="44" applyNumberFormat="0" applyAlignment="0" applyProtection="0"/>
    <xf numFmtId="0" fontId="43" fillId="0" borderId="49" applyNumberFormat="0" applyFill="0" applyAlignment="0" applyProtection="0"/>
    <xf numFmtId="0" fontId="44" fillId="34" borderId="0" applyNumberFormat="0" applyBorder="0" applyAlignment="0" applyProtection="0"/>
    <xf numFmtId="0" fontId="2" fillId="35" borderId="35" applyNumberFormat="0" applyFont="0" applyAlignment="0" applyProtection="0"/>
    <xf numFmtId="0" fontId="45" fillId="32" borderId="50" applyNumberFormat="0" applyAlignment="0" applyProtection="0"/>
    <xf numFmtId="0" fontId="46" fillId="0" borderId="0" applyNumberFormat="0" applyFill="0" applyBorder="0" applyAlignment="0" applyProtection="0"/>
    <xf numFmtId="0" fontId="47" fillId="0" borderId="51" applyNumberFormat="0" applyFill="0" applyAlignment="0" applyProtection="0"/>
    <xf numFmtId="0" fontId="48" fillId="0" borderId="0" applyNumberFormat="0" applyFill="0" applyBorder="0" applyAlignment="0" applyProtection="0"/>
    <xf numFmtId="0" fontId="2" fillId="0" borderId="0"/>
    <xf numFmtId="0" fontId="1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 fillId="0" borderId="0"/>
    <xf numFmtId="0" fontId="54" fillId="0" borderId="0"/>
    <xf numFmtId="0" fontId="2" fillId="0" borderId="0"/>
    <xf numFmtId="0" fontId="5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xf numFmtId="0" fontId="2" fillId="0" borderId="0"/>
  </cellStyleXfs>
  <cellXfs count="791">
    <xf numFmtId="0" fontId="0" fillId="0" borderId="0" xfId="0"/>
    <xf numFmtId="0" fontId="8" fillId="3" borderId="0" xfId="7" applyFont="1" applyFill="1" applyAlignment="1">
      <alignment horizontal="right"/>
    </xf>
    <xf numFmtId="1" fontId="8" fillId="0" borderId="0" xfId="7" applyNumberFormat="1" applyFont="1" applyFill="1"/>
    <xf numFmtId="164" fontId="8" fillId="0" borderId="0" xfId="7" applyNumberFormat="1" applyFont="1" applyFill="1"/>
    <xf numFmtId="164" fontId="8" fillId="3" borderId="0" xfId="7" applyNumberFormat="1" applyFont="1" applyFill="1"/>
    <xf numFmtId="0" fontId="8" fillId="3" borderId="0" xfId="8" applyFont="1" applyFill="1"/>
    <xf numFmtId="164" fontId="8" fillId="0" borderId="0" xfId="8" applyNumberFormat="1" applyFont="1" applyFill="1"/>
    <xf numFmtId="164" fontId="8" fillId="3" borderId="0" xfId="8" applyNumberFormat="1" applyFont="1" applyFill="1"/>
    <xf numFmtId="164" fontId="8" fillId="0" borderId="0" xfId="7" quotePrefix="1" applyNumberFormat="1" applyFont="1" applyFill="1"/>
    <xf numFmtId="0" fontId="8" fillId="3" borderId="0" xfId="7" quotePrefix="1" applyFont="1" applyFill="1" applyAlignment="1">
      <alignment horizontal="right"/>
    </xf>
    <xf numFmtId="0" fontId="8" fillId="0" borderId="0" xfId="7" applyFont="1" applyFill="1"/>
    <xf numFmtId="0" fontId="8" fillId="3" borderId="0" xfId="7" applyFont="1" applyFill="1"/>
    <xf numFmtId="9" fontId="8" fillId="0" borderId="0" xfId="8" applyNumberFormat="1" applyFont="1" applyFill="1"/>
    <xf numFmtId="0" fontId="9" fillId="0" borderId="0" xfId="8" applyFont="1" applyFill="1" applyAlignment="1">
      <alignment horizontal="center"/>
    </xf>
    <xf numFmtId="0" fontId="9" fillId="0" borderId="0" xfId="8" applyFont="1" applyAlignment="1">
      <alignment horizontal="center"/>
    </xf>
    <xf numFmtId="0" fontId="9" fillId="0" borderId="0" xfId="8" applyFont="1"/>
    <xf numFmtId="0" fontId="9" fillId="0" borderId="0" xfId="8" applyFont="1" applyFill="1" applyAlignment="1">
      <alignment horizontal="right"/>
    </xf>
    <xf numFmtId="0" fontId="9" fillId="0" borderId="0" xfId="8" applyFont="1" applyFill="1"/>
    <xf numFmtId="0" fontId="9" fillId="0" borderId="5" xfId="8" applyFont="1" applyFill="1" applyBorder="1"/>
    <xf numFmtId="165" fontId="9" fillId="0" borderId="2" xfId="1" applyNumberFormat="1" applyFont="1" applyFill="1" applyBorder="1" applyAlignment="1">
      <alignment horizontal="center"/>
    </xf>
    <xf numFmtId="1" fontId="13" fillId="0" borderId="2" xfId="8" applyNumberFormat="1" applyFont="1" applyBorder="1" applyAlignment="1">
      <alignment horizontal="center"/>
    </xf>
    <xf numFmtId="0" fontId="9" fillId="3" borderId="0" xfId="8" applyFont="1" applyFill="1"/>
    <xf numFmtId="0" fontId="14" fillId="6" borderId="10" xfId="8" applyFont="1" applyFill="1" applyBorder="1" applyAlignment="1">
      <alignment horizontal="right"/>
    </xf>
    <xf numFmtId="0" fontId="14" fillId="6" borderId="11" xfId="8" applyFont="1" applyFill="1" applyBorder="1" applyAlignment="1">
      <alignment horizontal="right"/>
    </xf>
    <xf numFmtId="2" fontId="9" fillId="6" borderId="17" xfId="8" applyNumberFormat="1" applyFont="1" applyFill="1" applyBorder="1" applyAlignment="1">
      <alignment horizontal="center"/>
    </xf>
    <xf numFmtId="2" fontId="9" fillId="6" borderId="12" xfId="8" applyNumberFormat="1" applyFont="1" applyFill="1" applyBorder="1" applyAlignment="1">
      <alignment horizontal="center"/>
    </xf>
    <xf numFmtId="0" fontId="9" fillId="6" borderId="20" xfId="8" applyFont="1" applyFill="1" applyBorder="1"/>
    <xf numFmtId="1" fontId="13" fillId="6" borderId="21" xfId="8" applyNumberFormat="1" applyFont="1" applyFill="1" applyBorder="1" applyAlignment="1">
      <alignment horizontal="center"/>
    </xf>
    <xf numFmtId="0" fontId="9" fillId="0" borderId="0" xfId="7" applyFont="1" applyFill="1" applyBorder="1" applyAlignment="1"/>
    <xf numFmtId="1" fontId="13" fillId="0" borderId="0" xfId="7" applyNumberFormat="1" applyFont="1" applyFill="1" applyBorder="1" applyAlignment="1"/>
    <xf numFmtId="0" fontId="9" fillId="0" borderId="0" xfId="8" applyFont="1" applyFill="1" applyBorder="1"/>
    <xf numFmtId="0" fontId="9" fillId="6" borderId="10" xfId="8" applyFont="1" applyFill="1" applyBorder="1"/>
    <xf numFmtId="0" fontId="13" fillId="0" borderId="0" xfId="7" applyFont="1" applyFill="1" applyBorder="1" applyAlignment="1"/>
    <xf numFmtId="0" fontId="9" fillId="0" borderId="0" xfId="7" applyFont="1" applyFill="1" applyBorder="1"/>
    <xf numFmtId="0" fontId="9" fillId="6" borderId="11" xfId="8" applyFont="1" applyFill="1" applyBorder="1"/>
    <xf numFmtId="0" fontId="9" fillId="6" borderId="12" xfId="8" applyFont="1" applyFill="1" applyBorder="1" applyAlignment="1">
      <alignment horizontal="center" vertical="center"/>
    </xf>
    <xf numFmtId="0" fontId="9" fillId="6" borderId="12" xfId="8" applyFont="1" applyFill="1" applyBorder="1" applyAlignment="1">
      <alignment horizontal="center"/>
    </xf>
    <xf numFmtId="164" fontId="8" fillId="0" borderId="0" xfId="0" applyNumberFormat="1" applyFont="1" applyFill="1" applyAlignment="1"/>
    <xf numFmtId="164" fontId="8" fillId="0" borderId="0" xfId="0" applyNumberFormat="1" applyFont="1" applyFill="1"/>
    <xf numFmtId="0" fontId="9" fillId="0" borderId="0" xfId="8" applyFont="1" applyBorder="1"/>
    <xf numFmtId="0" fontId="9" fillId="0" borderId="22" xfId="8" applyFont="1" applyBorder="1"/>
    <xf numFmtId="0" fontId="9" fillId="3" borderId="0" xfId="8" applyFont="1" applyFill="1" applyBorder="1"/>
    <xf numFmtId="0" fontId="8" fillId="0" borderId="0" xfId="0" applyFont="1" applyAlignment="1">
      <alignment horizontal="right"/>
    </xf>
    <xf numFmtId="164" fontId="8" fillId="0" borderId="0" xfId="0" applyNumberFormat="1" applyFont="1" applyFill="1" applyBorder="1"/>
    <xf numFmtId="0" fontId="8" fillId="0" borderId="0" xfId="0" applyFont="1" applyBorder="1"/>
    <xf numFmtId="164" fontId="15" fillId="0" borderId="0" xfId="0" applyNumberFormat="1" applyFont="1" applyFill="1" applyBorder="1"/>
    <xf numFmtId="0" fontId="8" fillId="0" borderId="0" xfId="0" applyFont="1" applyFill="1" applyBorder="1"/>
    <xf numFmtId="0" fontId="8" fillId="0" borderId="0" xfId="0" applyFont="1" applyFill="1" applyBorder="1" applyAlignment="1"/>
    <xf numFmtId="0" fontId="8" fillId="0" borderId="0" xfId="0" applyFont="1" applyFill="1" applyBorder="1" applyAlignment="1">
      <alignment vertical="center"/>
    </xf>
    <xf numFmtId="164" fontId="8" fillId="0" borderId="0" xfId="0" applyNumberFormat="1" applyFont="1" applyFill="1" applyBorder="1" applyAlignment="1">
      <alignment vertical="center"/>
    </xf>
    <xf numFmtId="2" fontId="15" fillId="0" borderId="0" xfId="0" applyNumberFormat="1" applyFont="1" applyFill="1" applyBorder="1"/>
    <xf numFmtId="0" fontId="10" fillId="0" borderId="16" xfId="8" applyFont="1" applyFill="1" applyBorder="1"/>
    <xf numFmtId="0" fontId="8" fillId="0" borderId="0" xfId="8" applyFont="1"/>
    <xf numFmtId="0" fontId="17" fillId="0" borderId="0" xfId="7" applyFont="1" applyFill="1"/>
    <xf numFmtId="0" fontId="15" fillId="0" borderId="0" xfId="7" applyFont="1" applyBorder="1"/>
    <xf numFmtId="0" fontId="8" fillId="0" borderId="0" xfId="12" applyFont="1" applyFill="1" applyBorder="1" applyAlignment="1">
      <alignment horizontal="center"/>
    </xf>
    <xf numFmtId="0" fontId="8" fillId="0" borderId="0" xfId="7" applyFont="1" applyBorder="1" applyAlignment="1">
      <alignment horizontal="center"/>
    </xf>
    <xf numFmtId="0" fontId="15" fillId="0" borderId="0" xfId="7" applyFont="1" applyFill="1" applyBorder="1"/>
    <xf numFmtId="0" fontId="8" fillId="0" borderId="0" xfId="7" applyFont="1"/>
    <xf numFmtId="0" fontId="15" fillId="0" borderId="0" xfId="7" applyFont="1" applyBorder="1" applyAlignment="1">
      <alignment horizontal="left"/>
    </xf>
    <xf numFmtId="0" fontId="17" fillId="0" borderId="0" xfId="7" applyFont="1"/>
    <xf numFmtId="0" fontId="8" fillId="0" borderId="0" xfId="12" applyFont="1" applyFill="1" applyBorder="1" applyAlignment="1">
      <alignment horizontal="left"/>
    </xf>
    <xf numFmtId="0" fontId="8" fillId="0" borderId="0" xfId="7" applyFont="1" applyFill="1" applyBorder="1" applyAlignment="1"/>
    <xf numFmtId="0" fontId="8" fillId="0" borderId="0" xfId="7" applyFont="1" applyBorder="1" applyAlignment="1"/>
    <xf numFmtId="0" fontId="9" fillId="0" borderId="0" xfId="7" applyFont="1" applyFill="1"/>
    <xf numFmtId="0" fontId="8" fillId="0" borderId="0" xfId="7" applyFont="1" applyFill="1" applyBorder="1"/>
    <xf numFmtId="0" fontId="8" fillId="0" borderId="0" xfId="12" applyFont="1" applyFill="1" applyBorder="1" applyAlignment="1"/>
    <xf numFmtId="0" fontId="8" fillId="0" borderId="0" xfId="8" applyFont="1" applyFill="1" applyBorder="1"/>
    <xf numFmtId="0" fontId="8" fillId="0" borderId="0" xfId="8" applyFont="1" applyBorder="1"/>
    <xf numFmtId="2" fontId="12" fillId="0" borderId="2" xfId="0" applyNumberFormat="1" applyFont="1" applyFill="1" applyBorder="1" applyAlignment="1">
      <alignment horizontal="center"/>
    </xf>
    <xf numFmtId="0" fontId="12" fillId="0" borderId="0" xfId="7" applyFont="1" applyBorder="1"/>
    <xf numFmtId="0" fontId="9" fillId="0" borderId="0" xfId="12" applyFont="1" applyFill="1" applyBorder="1" applyAlignment="1">
      <alignment horizontal="center"/>
    </xf>
    <xf numFmtId="0" fontId="9" fillId="0" borderId="0" xfId="7" applyFont="1" applyBorder="1" applyAlignment="1">
      <alignment horizontal="center"/>
    </xf>
    <xf numFmtId="0" fontId="12" fillId="0" borderId="0" xfId="7" applyFont="1" applyFill="1" applyBorder="1"/>
    <xf numFmtId="0" fontId="9" fillId="0" borderId="0" xfId="7" applyFont="1"/>
    <xf numFmtId="0" fontId="12" fillId="0" borderId="0" xfId="7" applyFont="1" applyBorder="1" applyAlignment="1">
      <alignment horizontal="left"/>
    </xf>
    <xf numFmtId="0" fontId="9" fillId="0" borderId="0" xfId="7" applyFont="1" applyBorder="1"/>
    <xf numFmtId="0" fontId="9" fillId="0" borderId="0" xfId="12" applyFont="1" applyFill="1" applyBorder="1" applyAlignment="1">
      <alignment horizontal="left"/>
    </xf>
    <xf numFmtId="0" fontId="9" fillId="0" borderId="0" xfId="7" applyFont="1" applyBorder="1" applyAlignment="1"/>
    <xf numFmtId="0" fontId="9" fillId="0" borderId="0" xfId="12" applyFont="1" applyFill="1" applyBorder="1" applyAlignment="1"/>
    <xf numFmtId="0" fontId="9" fillId="6" borderId="20" xfId="8" applyFont="1" applyFill="1" applyBorder="1" applyAlignment="1">
      <alignment horizontal="right"/>
    </xf>
    <xf numFmtId="2" fontId="18" fillId="6" borderId="21" xfId="8" applyNumberFormat="1" applyFont="1" applyFill="1" applyBorder="1" applyAlignment="1">
      <alignment horizontal="right"/>
    </xf>
    <xf numFmtId="0" fontId="9" fillId="6" borderId="11" xfId="8" applyFont="1" applyFill="1" applyBorder="1" applyAlignment="1">
      <alignment horizontal="right"/>
    </xf>
    <xf numFmtId="2" fontId="18" fillId="6" borderId="12" xfId="8" applyNumberFormat="1" applyFont="1" applyFill="1" applyBorder="1" applyAlignment="1">
      <alignment horizontal="right"/>
    </xf>
    <xf numFmtId="165" fontId="9" fillId="0" borderId="5" xfId="1" applyNumberFormat="1" applyFont="1" applyFill="1" applyBorder="1" applyAlignment="1">
      <alignment horizontal="center"/>
    </xf>
    <xf numFmtId="1" fontId="13" fillId="0" borderId="5" xfId="8" applyNumberFormat="1" applyFont="1" applyBorder="1" applyAlignment="1">
      <alignment horizontal="center"/>
    </xf>
    <xf numFmtId="0" fontId="9" fillId="0" borderId="10" xfId="0" applyFont="1" applyFill="1" applyBorder="1" applyAlignment="1">
      <alignment horizontal="center" textRotation="90"/>
    </xf>
    <xf numFmtId="0" fontId="9" fillId="0" borderId="10" xfId="0" applyFont="1" applyFill="1" applyBorder="1" applyAlignment="1">
      <alignment horizontal="center"/>
    </xf>
    <xf numFmtId="0" fontId="12" fillId="0" borderId="10" xfId="0" applyFont="1" applyFill="1" applyBorder="1" applyAlignment="1">
      <alignment horizontal="center"/>
    </xf>
    <xf numFmtId="0" fontId="9" fillId="0" borderId="24" xfId="8" applyFont="1" applyBorder="1"/>
    <xf numFmtId="0" fontId="9" fillId="0" borderId="25" xfId="8" applyFont="1" applyBorder="1"/>
    <xf numFmtId="2" fontId="9" fillId="0" borderId="10" xfId="8" applyNumberFormat="1" applyFont="1" applyBorder="1" applyAlignment="1">
      <alignment horizontal="center"/>
    </xf>
    <xf numFmtId="9" fontId="9" fillId="0" borderId="10" xfId="4" applyFont="1" applyFill="1" applyBorder="1" applyAlignment="1">
      <alignment horizontal="center"/>
    </xf>
    <xf numFmtId="0" fontId="9" fillId="0" borderId="24" xfId="8" applyFont="1" applyFill="1" applyBorder="1"/>
    <xf numFmtId="0" fontId="9" fillId="0" borderId="25" xfId="8" applyFont="1" applyFill="1" applyBorder="1"/>
    <xf numFmtId="2" fontId="9" fillId="0" borderId="10" xfId="0" applyNumberFormat="1" applyFont="1" applyFill="1" applyBorder="1" applyAlignment="1">
      <alignment horizontal="center"/>
    </xf>
    <xf numFmtId="2" fontId="12" fillId="0" borderId="10" xfId="0" applyNumberFormat="1" applyFont="1" applyFill="1" applyBorder="1" applyAlignment="1">
      <alignment horizontal="center"/>
    </xf>
    <xf numFmtId="0" fontId="9" fillId="0" borderId="26" xfId="8" applyFont="1" applyFill="1" applyBorder="1"/>
    <xf numFmtId="1" fontId="13" fillId="0" borderId="20" xfId="8" applyNumberFormat="1" applyFont="1" applyBorder="1" applyAlignment="1">
      <alignment horizontal="center"/>
    </xf>
    <xf numFmtId="1" fontId="13" fillId="0" borderId="21" xfId="8" applyNumberFormat="1" applyFont="1" applyBorder="1" applyAlignment="1">
      <alignment horizontal="center"/>
    </xf>
    <xf numFmtId="0" fontId="13" fillId="5" borderId="10" xfId="8" applyFont="1" applyFill="1" applyBorder="1" applyAlignment="1">
      <alignment horizontal="center"/>
    </xf>
    <xf numFmtId="1" fontId="13" fillId="0" borderId="10" xfId="7" applyNumberFormat="1" applyFont="1" applyFill="1" applyBorder="1" applyAlignment="1">
      <alignment horizontal="center"/>
    </xf>
    <xf numFmtId="164" fontId="8" fillId="3" borderId="0" xfId="8" applyNumberFormat="1" applyFont="1" applyFill="1" applyAlignment="1">
      <alignment horizontal="right"/>
    </xf>
    <xf numFmtId="166" fontId="8" fillId="3" borderId="0" xfId="10" applyNumberFormat="1" applyFont="1" applyFill="1" applyAlignment="1">
      <alignment horizontal="center"/>
    </xf>
    <xf numFmtId="164" fontId="8" fillId="3" borderId="0" xfId="10" applyNumberFormat="1" applyFont="1" applyFill="1" applyAlignment="1">
      <alignment horizontal="right"/>
    </xf>
    <xf numFmtId="1" fontId="9" fillId="0" borderId="26" xfId="1" applyNumberFormat="1" applyFont="1" applyFill="1" applyBorder="1" applyAlignment="1">
      <alignment horizontal="center"/>
    </xf>
    <xf numFmtId="165" fontId="9" fillId="0" borderId="26" xfId="1" applyNumberFormat="1" applyFont="1" applyFill="1" applyBorder="1" applyAlignment="1">
      <alignment horizontal="center"/>
    </xf>
    <xf numFmtId="165" fontId="9" fillId="3" borderId="26" xfId="9" applyNumberFormat="1" applyFont="1" applyFill="1" applyBorder="1" applyAlignment="1">
      <alignment horizontal="center"/>
    </xf>
    <xf numFmtId="165" fontId="9" fillId="0" borderId="27" xfId="1" applyNumberFormat="1" applyFont="1" applyFill="1" applyBorder="1" applyAlignment="1">
      <alignment horizontal="center"/>
    </xf>
    <xf numFmtId="165" fontId="9" fillId="0" borderId="21" xfId="1" applyNumberFormat="1" applyFont="1" applyFill="1" applyBorder="1" applyAlignment="1">
      <alignment horizontal="center"/>
    </xf>
    <xf numFmtId="0" fontId="9" fillId="6" borderId="8" xfId="8" applyFont="1" applyFill="1" applyBorder="1" applyAlignment="1">
      <alignment horizontal="right"/>
    </xf>
    <xf numFmtId="0" fontId="9" fillId="6" borderId="23" xfId="8" applyFont="1" applyFill="1" applyBorder="1" applyAlignment="1">
      <alignment horizontal="center"/>
    </xf>
    <xf numFmtId="0" fontId="9" fillId="6" borderId="28" xfId="8" applyFont="1" applyFill="1" applyBorder="1" applyAlignment="1">
      <alignment horizontal="center"/>
    </xf>
    <xf numFmtId="0" fontId="9" fillId="6" borderId="9" xfId="8" applyFont="1" applyFill="1" applyBorder="1" applyAlignment="1">
      <alignment horizontal="center"/>
    </xf>
    <xf numFmtId="0" fontId="9" fillId="6" borderId="17" xfId="8" applyFont="1" applyFill="1" applyBorder="1" applyAlignment="1">
      <alignment horizontal="center"/>
    </xf>
    <xf numFmtId="0" fontId="9" fillId="6" borderId="29" xfId="8" applyFont="1" applyFill="1" applyBorder="1" applyAlignment="1">
      <alignment horizontal="center"/>
    </xf>
    <xf numFmtId="0" fontId="7" fillId="0" borderId="0" xfId="8" applyFont="1" applyFill="1" applyBorder="1" applyAlignment="1">
      <alignment horizontal="center"/>
    </xf>
    <xf numFmtId="165" fontId="9" fillId="0" borderId="4" xfId="1" applyNumberFormat="1" applyFont="1" applyFill="1" applyBorder="1" applyAlignment="1">
      <alignment horizontal="center"/>
    </xf>
    <xf numFmtId="2" fontId="9" fillId="0" borderId="4" xfId="7" applyNumberFormat="1" applyFont="1" applyFill="1" applyBorder="1" applyAlignment="1">
      <alignment horizontal="center"/>
    </xf>
    <xf numFmtId="1" fontId="13" fillId="0" borderId="4" xfId="8" applyNumberFormat="1" applyFont="1" applyFill="1" applyBorder="1" applyAlignment="1">
      <alignment horizontal="center"/>
    </xf>
    <xf numFmtId="1" fontId="13" fillId="5" borderId="4" xfId="8" applyNumberFormat="1" applyFont="1" applyFill="1" applyBorder="1" applyAlignment="1">
      <alignment horizontal="center"/>
    </xf>
    <xf numFmtId="0" fontId="13" fillId="0" borderId="4" xfId="8" applyFont="1" applyFill="1" applyBorder="1" applyAlignment="1">
      <alignment horizontal="center"/>
    </xf>
    <xf numFmtId="164" fontId="9" fillId="0" borderId="0" xfId="8" applyNumberFormat="1" applyFont="1" applyFill="1" applyBorder="1" applyAlignment="1">
      <alignment horizontal="center"/>
    </xf>
    <xf numFmtId="2" fontId="9" fillId="0" borderId="2" xfId="7" applyNumberFormat="1" applyFont="1" applyFill="1" applyBorder="1" applyAlignment="1">
      <alignment horizontal="center"/>
    </xf>
    <xf numFmtId="2" fontId="9" fillId="6" borderId="30" xfId="8" applyNumberFormat="1" applyFont="1" applyFill="1" applyBorder="1" applyAlignment="1">
      <alignment horizontal="center"/>
    </xf>
    <xf numFmtId="2" fontId="12" fillId="6" borderId="30" xfId="8" applyNumberFormat="1" applyFont="1" applyFill="1" applyBorder="1" applyAlignment="1">
      <alignment horizontal="center"/>
    </xf>
    <xf numFmtId="2" fontId="9" fillId="6" borderId="31" xfId="8" applyNumberFormat="1" applyFont="1" applyFill="1" applyBorder="1" applyAlignment="1">
      <alignment horizontal="center"/>
    </xf>
    <xf numFmtId="0" fontId="14" fillId="6" borderId="20" xfId="8" applyFont="1" applyFill="1" applyBorder="1" applyAlignment="1">
      <alignment horizontal="right"/>
    </xf>
    <xf numFmtId="2" fontId="9" fillId="6" borderId="2" xfId="8" applyNumberFormat="1" applyFont="1" applyFill="1" applyBorder="1" applyAlignment="1">
      <alignment horizontal="center"/>
    </xf>
    <xf numFmtId="2" fontId="9" fillId="6" borderId="21" xfId="8" applyNumberFormat="1" applyFont="1" applyFill="1" applyBorder="1" applyAlignment="1">
      <alignment horizontal="center"/>
    </xf>
    <xf numFmtId="2" fontId="9" fillId="6" borderId="32" xfId="8" applyNumberFormat="1" applyFont="1" applyFill="1" applyBorder="1" applyAlignment="1">
      <alignment horizontal="center"/>
    </xf>
    <xf numFmtId="0" fontId="8" fillId="0" borderId="0" xfId="0" applyFont="1" applyFill="1"/>
    <xf numFmtId="0" fontId="8" fillId="0" borderId="0" xfId="0" applyFont="1" applyFill="1" applyAlignment="1"/>
    <xf numFmtId="0" fontId="8" fillId="0" borderId="0" xfId="0" applyFont="1" applyFill="1" applyAlignment="1">
      <alignment vertical="center"/>
    </xf>
    <xf numFmtId="2" fontId="15" fillId="0" borderId="0" xfId="0" applyNumberFormat="1" applyFont="1" applyFill="1"/>
    <xf numFmtId="0" fontId="13" fillId="5" borderId="26" xfId="8" applyFont="1" applyFill="1" applyBorder="1" applyAlignment="1">
      <alignment horizontal="center"/>
    </xf>
    <xf numFmtId="2" fontId="8" fillId="0" borderId="0" xfId="7" applyNumberFormat="1" applyFont="1" applyFill="1"/>
    <xf numFmtId="2" fontId="12" fillId="8" borderId="30" xfId="8" applyNumberFormat="1" applyFont="1" applyFill="1" applyBorder="1" applyAlignment="1">
      <alignment horizontal="center"/>
    </xf>
    <xf numFmtId="0" fontId="7" fillId="3" borderId="0" xfId="8" applyFont="1" applyFill="1" applyAlignment="1">
      <alignment horizontal="center"/>
    </xf>
    <xf numFmtId="167" fontId="16" fillId="0" borderId="0" xfId="8" applyNumberFormat="1" applyFont="1" applyFill="1" applyBorder="1" applyAlignment="1" applyProtection="1">
      <protection locked="0"/>
    </xf>
    <xf numFmtId="0" fontId="20" fillId="0" borderId="0" xfId="7" applyFont="1"/>
    <xf numFmtId="0" fontId="23" fillId="0" borderId="0" xfId="0" applyFont="1"/>
    <xf numFmtId="0" fontId="24" fillId="0" borderId="10" xfId="15" applyFont="1" applyBorder="1" applyAlignment="1" applyProtection="1"/>
    <xf numFmtId="0" fontId="23" fillId="0" borderId="11" xfId="0" applyFont="1" applyBorder="1"/>
    <xf numFmtId="0" fontId="21" fillId="3" borderId="0" xfId="15" applyFont="1" applyFill="1" applyAlignment="1" applyProtection="1">
      <alignment horizontal="left"/>
    </xf>
    <xf numFmtId="0" fontId="16" fillId="0" borderId="0" xfId="0" applyFont="1" applyAlignment="1">
      <alignment horizontal="right"/>
    </xf>
    <xf numFmtId="0" fontId="26" fillId="0" borderId="0" xfId="0" applyFont="1"/>
    <xf numFmtId="0" fontId="16" fillId="0" borderId="0" xfId="7" applyFont="1" applyAlignment="1">
      <alignment horizontal="right"/>
    </xf>
    <xf numFmtId="164" fontId="8" fillId="0" borderId="0" xfId="7" applyNumberFormat="1" applyFont="1" applyFill="1" applyAlignment="1"/>
    <xf numFmtId="0" fontId="8" fillId="0" borderId="0" xfId="7" applyFont="1" applyFill="1" applyAlignment="1">
      <alignment horizontal="right"/>
    </xf>
    <xf numFmtId="0" fontId="8" fillId="0" borderId="0" xfId="8" applyFont="1" applyFill="1"/>
    <xf numFmtId="0" fontId="8" fillId="0" borderId="0" xfId="0" applyFont="1" applyFill="1" applyAlignment="1">
      <alignment horizontal="right"/>
    </xf>
    <xf numFmtId="0" fontId="8" fillId="0" borderId="0" xfId="0" quotePrefix="1" applyFont="1" applyFill="1" applyAlignment="1">
      <alignment horizontal="right"/>
    </xf>
    <xf numFmtId="0" fontId="8" fillId="0" borderId="0" xfId="7" quotePrefix="1" applyFont="1" applyFill="1" applyAlignment="1">
      <alignment horizontal="right"/>
    </xf>
    <xf numFmtId="164" fontId="8" fillId="0" borderId="0" xfId="8" applyNumberFormat="1" applyFont="1" applyFill="1" applyAlignment="1">
      <alignment horizontal="right"/>
    </xf>
    <xf numFmtId="166" fontId="8" fillId="0" borderId="0" xfId="10" applyNumberFormat="1" applyFont="1" applyFill="1" applyAlignment="1">
      <alignment horizontal="center"/>
    </xf>
    <xf numFmtId="164" fontId="8" fillId="0" borderId="0" xfId="10" applyNumberFormat="1" applyFont="1" applyFill="1" applyAlignment="1">
      <alignment horizontal="right"/>
    </xf>
    <xf numFmtId="0" fontId="21" fillId="0" borderId="0" xfId="15" applyFont="1" applyFill="1" applyAlignment="1" applyProtection="1">
      <alignment horizontal="left"/>
    </xf>
    <xf numFmtId="0" fontId="7" fillId="0" borderId="0" xfId="8" applyFont="1" applyFill="1" applyAlignment="1">
      <alignment horizontal="center"/>
    </xf>
    <xf numFmtId="0" fontId="16" fillId="0" borderId="0" xfId="0" applyFont="1" applyFill="1" applyAlignment="1">
      <alignment horizontal="right"/>
    </xf>
    <xf numFmtId="0" fontId="16" fillId="0" borderId="0" xfId="0" applyFont="1" applyFill="1" applyAlignment="1"/>
    <xf numFmtId="0" fontId="9" fillId="0" borderId="0" xfId="8" applyFont="1" applyFill="1" applyBorder="1" applyAlignment="1">
      <alignment horizontal="center"/>
    </xf>
    <xf numFmtId="0" fontId="8" fillId="0" borderId="0" xfId="7" applyFont="1" applyAlignment="1">
      <alignment horizontal="right"/>
    </xf>
    <xf numFmtId="0" fontId="9" fillId="3" borderId="0" xfId="7" applyFont="1" applyFill="1" applyBorder="1"/>
    <xf numFmtId="0" fontId="9" fillId="0" borderId="0" xfId="7" applyFont="1" applyFill="1" applyBorder="1" applyAlignment="1">
      <alignment horizontal="center"/>
    </xf>
    <xf numFmtId="1" fontId="13" fillId="0" borderId="0" xfId="8" applyNumberFormat="1" applyFont="1" applyFill="1" applyBorder="1" applyAlignment="1">
      <alignment horizontal="center"/>
    </xf>
    <xf numFmtId="0" fontId="13" fillId="6" borderId="21" xfId="8" applyFont="1" applyFill="1" applyBorder="1" applyAlignment="1">
      <alignment horizontal="center"/>
    </xf>
    <xf numFmtId="1" fontId="13" fillId="6" borderId="9" xfId="8" applyNumberFormat="1" applyFont="1" applyFill="1" applyBorder="1" applyAlignment="1">
      <alignment horizontal="center"/>
    </xf>
    <xf numFmtId="0" fontId="9" fillId="0" borderId="0" xfId="7" applyFont="1" applyAlignment="1">
      <alignment horizontal="right"/>
    </xf>
    <xf numFmtId="2" fontId="9" fillId="6" borderId="38" xfId="8" applyNumberFormat="1" applyFont="1" applyFill="1" applyBorder="1" applyAlignment="1">
      <alignment horizontal="center"/>
    </xf>
    <xf numFmtId="2" fontId="9" fillId="6" borderId="11" xfId="8" applyNumberFormat="1" applyFont="1" applyFill="1" applyBorder="1" applyAlignment="1">
      <alignment horizontal="center"/>
    </xf>
    <xf numFmtId="2" fontId="9" fillId="6" borderId="29" xfId="8" applyNumberFormat="1" applyFont="1" applyFill="1" applyBorder="1" applyAlignment="1">
      <alignment horizontal="center"/>
    </xf>
    <xf numFmtId="2" fontId="9" fillId="6" borderId="10" xfId="8" applyNumberFormat="1" applyFont="1" applyFill="1" applyBorder="1" applyAlignment="1">
      <alignment horizontal="center"/>
    </xf>
    <xf numFmtId="2" fontId="12" fillId="6" borderId="10" xfId="8" applyNumberFormat="1" applyFont="1" applyFill="1" applyBorder="1" applyAlignment="1">
      <alignment horizontal="center"/>
    </xf>
    <xf numFmtId="2" fontId="9" fillId="6" borderId="39" xfId="8" applyNumberFormat="1" applyFont="1" applyFill="1" applyBorder="1" applyAlignment="1">
      <alignment horizontal="center"/>
    </xf>
    <xf numFmtId="2" fontId="9" fillId="6" borderId="9" xfId="8" applyNumberFormat="1" applyFont="1" applyFill="1" applyBorder="1" applyAlignment="1">
      <alignment horizontal="center"/>
    </xf>
    <xf numFmtId="2" fontId="9" fillId="6" borderId="23" xfId="8" applyNumberFormat="1" applyFont="1" applyFill="1" applyBorder="1" applyAlignment="1">
      <alignment horizontal="center"/>
    </xf>
    <xf numFmtId="2" fontId="9" fillId="6" borderId="8" xfId="8" applyNumberFormat="1" applyFont="1" applyFill="1" applyBorder="1" applyAlignment="1">
      <alignment horizontal="center"/>
    </xf>
    <xf numFmtId="2" fontId="9" fillId="6" borderId="28" xfId="8" applyNumberFormat="1" applyFont="1" applyFill="1" applyBorder="1" applyAlignment="1">
      <alignment horizontal="center"/>
    </xf>
    <xf numFmtId="0" fontId="14" fillId="6" borderId="8" xfId="8" applyFont="1" applyFill="1" applyBorder="1" applyAlignment="1">
      <alignment horizontal="right"/>
    </xf>
    <xf numFmtId="0" fontId="14" fillId="0" borderId="0" xfId="8" applyFont="1" applyFill="1" applyBorder="1" applyAlignment="1"/>
    <xf numFmtId="0" fontId="11" fillId="0" borderId="0" xfId="7" applyFont="1" applyFill="1" applyBorder="1" applyAlignment="1">
      <alignment horizontal="center"/>
    </xf>
    <xf numFmtId="0" fontId="8" fillId="3" borderId="0" xfId="7" applyFont="1" applyFill="1" applyAlignment="1">
      <alignment horizontal="center"/>
    </xf>
    <xf numFmtId="0" fontId="8" fillId="0" borderId="0" xfId="7" applyFont="1" applyFill="1" applyAlignment="1">
      <alignment horizontal="center"/>
    </xf>
    <xf numFmtId="0" fontId="8" fillId="0" borderId="0" xfId="7" applyFont="1" applyFill="1" applyBorder="1" applyAlignment="1">
      <alignment horizontal="center"/>
    </xf>
    <xf numFmtId="0" fontId="8" fillId="3" borderId="0" xfId="7" applyFont="1" applyFill="1" applyBorder="1"/>
    <xf numFmtId="0" fontId="28" fillId="3" borderId="0" xfId="7" applyFont="1" applyFill="1" applyBorder="1"/>
    <xf numFmtId="2" fontId="11" fillId="0" borderId="26" xfId="7" applyNumberFormat="1" applyFont="1" applyFill="1" applyBorder="1" applyAlignment="1">
      <alignment horizontal="center"/>
    </xf>
    <xf numFmtId="2" fontId="9" fillId="0" borderId="26" xfId="7" applyNumberFormat="1" applyFont="1" applyFill="1" applyBorder="1" applyAlignment="1">
      <alignment horizontal="center"/>
    </xf>
    <xf numFmtId="164" fontId="8" fillId="3" borderId="0" xfId="7" applyNumberFormat="1" applyFont="1" applyFill="1" applyBorder="1"/>
    <xf numFmtId="0" fontId="8" fillId="3" borderId="0" xfId="7" applyFont="1" applyFill="1" applyBorder="1" applyAlignment="1">
      <alignment horizontal="center"/>
    </xf>
    <xf numFmtId="2" fontId="9" fillId="0" borderId="27" xfId="7" applyNumberFormat="1" applyFont="1" applyFill="1" applyBorder="1" applyAlignment="1">
      <alignment horizontal="center"/>
    </xf>
    <xf numFmtId="2" fontId="9" fillId="0" borderId="5" xfId="7" applyNumberFormat="1" applyFont="1" applyFill="1" applyBorder="1" applyAlignment="1">
      <alignment horizontal="center"/>
    </xf>
    <xf numFmtId="2" fontId="8" fillId="0" borderId="0" xfId="7" applyNumberFormat="1" applyFont="1" applyFill="1" applyBorder="1" applyAlignment="1">
      <alignment horizontal="center"/>
    </xf>
    <xf numFmtId="0" fontId="14" fillId="0" borderId="16" xfId="8" applyFont="1" applyFill="1" applyBorder="1"/>
    <xf numFmtId="2" fontId="9" fillId="0" borderId="10" xfId="7" applyNumberFormat="1" applyFont="1" applyFill="1" applyBorder="1" applyAlignment="1">
      <alignment horizontal="center"/>
    </xf>
    <xf numFmtId="164" fontId="11" fillId="0" borderId="26" xfId="8" applyNumberFormat="1" applyFont="1" applyFill="1" applyBorder="1" applyAlignment="1">
      <alignment horizontal="center"/>
    </xf>
    <xf numFmtId="165" fontId="9" fillId="0" borderId="20" xfId="1" applyNumberFormat="1" applyFont="1" applyFill="1" applyBorder="1" applyAlignment="1">
      <alignment horizontal="center"/>
    </xf>
    <xf numFmtId="165" fontId="9" fillId="0" borderId="10" xfId="1" applyNumberFormat="1" applyFont="1" applyFill="1" applyBorder="1" applyAlignment="1">
      <alignment horizontal="center"/>
    </xf>
    <xf numFmtId="165" fontId="9" fillId="3" borderId="10" xfId="9" applyNumberFormat="1" applyFont="1" applyFill="1" applyBorder="1" applyAlignment="1">
      <alignment horizontal="center"/>
    </xf>
    <xf numFmtId="1" fontId="9" fillId="0" borderId="10" xfId="1" applyNumberFormat="1" applyFont="1" applyFill="1" applyBorder="1" applyAlignment="1">
      <alignment horizontal="center"/>
    </xf>
    <xf numFmtId="9" fontId="9" fillId="0" borderId="26" xfId="11" applyFont="1" applyFill="1" applyBorder="1" applyAlignment="1">
      <alignment horizontal="center"/>
    </xf>
    <xf numFmtId="0" fontId="9" fillId="0" borderId="26" xfId="7" applyFont="1" applyFill="1" applyBorder="1" applyAlignment="1">
      <alignment horizontal="center" vertical="center"/>
    </xf>
    <xf numFmtId="0" fontId="9" fillId="0" borderId="26" xfId="7" applyFont="1" applyFill="1" applyBorder="1" applyAlignment="1">
      <alignment horizontal="center"/>
    </xf>
    <xf numFmtId="0" fontId="8" fillId="0" borderId="0" xfId="5" applyFont="1"/>
    <xf numFmtId="0" fontId="9" fillId="0" borderId="9" xfId="5" applyFont="1" applyFill="1" applyBorder="1" applyAlignment="1">
      <alignment horizontal="center" textRotation="90"/>
    </xf>
    <xf numFmtId="0" fontId="9" fillId="0" borderId="23" xfId="5" applyFont="1" applyFill="1" applyBorder="1" applyAlignment="1">
      <alignment horizontal="center" textRotation="90"/>
    </xf>
    <xf numFmtId="0" fontId="9" fillId="0" borderId="8" xfId="5" applyFont="1" applyFill="1" applyBorder="1" applyAlignment="1">
      <alignment horizontal="center" textRotation="90"/>
    </xf>
    <xf numFmtId="164" fontId="8" fillId="0" borderId="0" xfId="5" applyNumberFormat="1" applyFont="1"/>
    <xf numFmtId="164" fontId="8" fillId="0" borderId="0" xfId="5" applyNumberFormat="1" applyFont="1" applyFill="1"/>
    <xf numFmtId="164" fontId="8" fillId="0" borderId="0" xfId="5" quotePrefix="1" applyNumberFormat="1" applyFont="1" applyFill="1"/>
    <xf numFmtId="0" fontId="8" fillId="0" borderId="0" xfId="5" applyFont="1" applyFill="1"/>
    <xf numFmtId="2" fontId="29" fillId="0" borderId="0" xfId="7" applyNumberFormat="1" applyFont="1" applyFill="1" applyAlignment="1">
      <alignment horizontal="right"/>
    </xf>
    <xf numFmtId="9" fontId="15" fillId="3" borderId="0" xfId="11" applyFont="1" applyFill="1" applyBorder="1"/>
    <xf numFmtId="164" fontId="15" fillId="3" borderId="0" xfId="7" applyNumberFormat="1" applyFont="1" applyFill="1" applyBorder="1"/>
    <xf numFmtId="0" fontId="8" fillId="3" borderId="0" xfId="8" applyFont="1" applyFill="1" applyAlignment="1">
      <alignment horizontal="right"/>
    </xf>
    <xf numFmtId="164" fontId="8" fillId="0" borderId="0" xfId="7" applyNumberFormat="1" applyFont="1"/>
    <xf numFmtId="0" fontId="8" fillId="0" borderId="0" xfId="7" applyFont="1" applyFill="1" applyAlignment="1"/>
    <xf numFmtId="0" fontId="8" fillId="0" borderId="0" xfId="7" applyFont="1" applyFill="1" applyAlignment="1">
      <alignment vertical="center"/>
    </xf>
    <xf numFmtId="164" fontId="8" fillId="0" borderId="0" xfId="7" applyNumberFormat="1" applyFont="1" applyFill="1" applyAlignment="1">
      <alignment vertical="center"/>
    </xf>
    <xf numFmtId="0" fontId="8" fillId="0" borderId="0" xfId="7" applyFont="1" applyAlignment="1">
      <alignment vertical="center"/>
    </xf>
    <xf numFmtId="0" fontId="8" fillId="3" borderId="0" xfId="8" quotePrefix="1" applyFont="1" applyFill="1" applyAlignment="1">
      <alignment horizontal="right"/>
    </xf>
    <xf numFmtId="0" fontId="30" fillId="0" borderId="0" xfId="7" applyFont="1"/>
    <xf numFmtId="0" fontId="7" fillId="0" borderId="0" xfId="7" applyFont="1" applyFill="1"/>
    <xf numFmtId="0" fontId="21" fillId="0" borderId="0" xfId="15" applyFont="1" applyFill="1" applyAlignment="1" applyProtection="1"/>
    <xf numFmtId="0" fontId="16" fillId="0" borderId="0" xfId="7" applyFont="1" applyFill="1" applyAlignment="1"/>
    <xf numFmtId="2" fontId="11" fillId="0" borderId="10" xfId="7" applyNumberFormat="1" applyFont="1" applyFill="1" applyBorder="1" applyAlignment="1">
      <alignment horizontal="center"/>
    </xf>
    <xf numFmtId="2" fontId="12" fillId="0" borderId="10" xfId="7" applyNumberFormat="1" applyFont="1" applyFill="1" applyBorder="1" applyAlignment="1">
      <alignment horizontal="center"/>
    </xf>
    <xf numFmtId="164" fontId="11" fillId="0" borderId="10" xfId="8" applyNumberFormat="1" applyFont="1" applyFill="1" applyBorder="1" applyAlignment="1">
      <alignment horizontal="center"/>
    </xf>
    <xf numFmtId="9" fontId="9" fillId="0" borderId="10" xfId="11" applyFont="1" applyFill="1" applyBorder="1" applyAlignment="1">
      <alignment horizontal="center"/>
    </xf>
    <xf numFmtId="0" fontId="9" fillId="0" borderId="10" xfId="7" applyFont="1" applyFill="1" applyBorder="1" applyAlignment="1">
      <alignment horizontal="center"/>
    </xf>
    <xf numFmtId="2" fontId="9" fillId="12" borderId="17" xfId="8" applyNumberFormat="1" applyFont="1" applyFill="1" applyBorder="1" applyAlignment="1">
      <alignment horizontal="center"/>
    </xf>
    <xf numFmtId="2" fontId="9" fillId="13" borderId="17" xfId="8" applyNumberFormat="1" applyFont="1" applyFill="1" applyBorder="1" applyAlignment="1">
      <alignment horizontal="center"/>
    </xf>
    <xf numFmtId="2" fontId="9" fillId="11" borderId="2" xfId="8" applyNumberFormat="1" applyFont="1" applyFill="1" applyBorder="1" applyAlignment="1">
      <alignment horizontal="center"/>
    </xf>
    <xf numFmtId="2" fontId="9" fillId="13" borderId="43" xfId="8" applyNumberFormat="1" applyFont="1" applyFill="1" applyBorder="1" applyAlignment="1">
      <alignment horizontal="center"/>
    </xf>
    <xf numFmtId="2" fontId="9" fillId="12" borderId="2" xfId="8" applyNumberFormat="1" applyFont="1" applyFill="1" applyBorder="1" applyAlignment="1">
      <alignment horizontal="center"/>
    </xf>
    <xf numFmtId="2" fontId="9" fillId="13" borderId="2" xfId="8" applyNumberFormat="1" applyFont="1" applyFill="1" applyBorder="1" applyAlignment="1">
      <alignment horizontal="center"/>
    </xf>
    <xf numFmtId="0" fontId="9" fillId="0" borderId="5" xfId="8" applyFont="1" applyBorder="1"/>
    <xf numFmtId="0" fontId="9" fillId="0" borderId="3" xfId="8" applyFont="1" applyBorder="1"/>
    <xf numFmtId="0" fontId="9" fillId="0" borderId="43" xfId="8" applyFont="1" applyBorder="1"/>
    <xf numFmtId="9" fontId="9" fillId="0" borderId="26" xfId="4" applyFont="1" applyFill="1" applyBorder="1" applyAlignment="1">
      <alignment horizontal="center"/>
    </xf>
    <xf numFmtId="165" fontId="9" fillId="0" borderId="3" xfId="1" applyNumberFormat="1" applyFont="1" applyFill="1" applyBorder="1" applyAlignment="1">
      <alignment horizontal="center"/>
    </xf>
    <xf numFmtId="165" fontId="9" fillId="0" borderId="24" xfId="1" applyNumberFormat="1" applyFont="1" applyFill="1" applyBorder="1" applyAlignment="1">
      <alignment horizontal="center"/>
    </xf>
    <xf numFmtId="165" fontId="9" fillId="0" borderId="0" xfId="1" applyNumberFormat="1" applyFont="1" applyFill="1" applyBorder="1" applyAlignment="1">
      <alignment horizontal="center"/>
    </xf>
    <xf numFmtId="165" fontId="9" fillId="0" borderId="25" xfId="1" applyNumberFormat="1" applyFont="1" applyFill="1" applyBorder="1" applyAlignment="1">
      <alignment horizontal="center"/>
    </xf>
    <xf numFmtId="0" fontId="12" fillId="0" borderId="5" xfId="8" applyFont="1" applyFill="1" applyBorder="1"/>
    <xf numFmtId="165" fontId="9" fillId="0" borderId="2" xfId="13" applyNumberFormat="1" applyFont="1" applyFill="1" applyBorder="1" applyAlignment="1">
      <alignment horizontal="center"/>
    </xf>
    <xf numFmtId="165" fontId="9" fillId="0" borderId="5" xfId="13" applyNumberFormat="1" applyFont="1" applyFill="1" applyBorder="1" applyAlignment="1">
      <alignment horizontal="center"/>
    </xf>
    <xf numFmtId="165" fontId="9" fillId="0" borderId="43" xfId="1" applyNumberFormat="1" applyFont="1" applyFill="1" applyBorder="1" applyAlignment="1">
      <alignment horizontal="center"/>
    </xf>
    <xf numFmtId="2" fontId="9" fillId="0" borderId="2" xfId="8" applyNumberFormat="1" applyFont="1" applyFill="1" applyBorder="1" applyAlignment="1">
      <alignment horizontal="center"/>
    </xf>
    <xf numFmtId="2" fontId="9" fillId="0" borderId="5" xfId="8" applyNumberFormat="1" applyFont="1" applyFill="1" applyBorder="1" applyAlignment="1">
      <alignment horizontal="center"/>
    </xf>
    <xf numFmtId="1" fontId="9" fillId="0" borderId="2" xfId="1" applyNumberFormat="1" applyFont="1" applyFill="1" applyBorder="1" applyAlignment="1">
      <alignment horizontal="center"/>
    </xf>
    <xf numFmtId="1" fontId="9" fillId="0" borderId="5" xfId="1" applyNumberFormat="1" applyFont="1" applyFill="1" applyBorder="1" applyAlignment="1">
      <alignment horizontal="center"/>
    </xf>
    <xf numFmtId="2" fontId="9" fillId="11" borderId="36" xfId="8" applyNumberFormat="1" applyFont="1" applyFill="1" applyBorder="1" applyAlignment="1">
      <alignment horizontal="center"/>
    </xf>
    <xf numFmtId="0" fontId="13" fillId="5" borderId="53" xfId="8" applyFont="1" applyFill="1" applyBorder="1" applyAlignment="1">
      <alignment horizontal="center"/>
    </xf>
    <xf numFmtId="0" fontId="13" fillId="5" borderId="42" xfId="8" applyFont="1" applyFill="1" applyBorder="1" applyAlignment="1">
      <alignment horizontal="center"/>
    </xf>
    <xf numFmtId="0" fontId="13" fillId="5" borderId="54" xfId="8" applyFont="1" applyFill="1" applyBorder="1" applyAlignment="1">
      <alignment horizontal="center"/>
    </xf>
    <xf numFmtId="0" fontId="9" fillId="0" borderId="20" xfId="8" applyFont="1" applyFill="1" applyBorder="1"/>
    <xf numFmtId="165" fontId="9" fillId="0" borderId="10" xfId="13" applyNumberFormat="1" applyFont="1" applyFill="1" applyBorder="1" applyAlignment="1">
      <alignment horizontal="center"/>
    </xf>
    <xf numFmtId="0" fontId="12" fillId="0" borderId="16" xfId="8" applyFont="1" applyFill="1" applyBorder="1"/>
    <xf numFmtId="0" fontId="21" fillId="0" borderId="0" xfId="15" applyFont="1" applyAlignment="1" applyProtection="1"/>
    <xf numFmtId="2" fontId="9" fillId="6" borderId="5" xfId="8" applyNumberFormat="1" applyFont="1" applyFill="1" applyBorder="1" applyAlignment="1">
      <alignment horizontal="center"/>
    </xf>
    <xf numFmtId="2" fontId="9" fillId="6" borderId="55" xfId="8" applyNumberFormat="1" applyFont="1" applyFill="1" applyBorder="1" applyAlignment="1">
      <alignment horizontal="center"/>
    </xf>
    <xf numFmtId="2" fontId="12" fillId="0" borderId="2" xfId="7" applyNumberFormat="1" applyFont="1" applyFill="1" applyBorder="1" applyAlignment="1">
      <alignment horizontal="center"/>
    </xf>
    <xf numFmtId="0" fontId="14" fillId="6" borderId="56" xfId="8" applyFont="1" applyFill="1" applyBorder="1" applyAlignment="1">
      <alignment horizontal="right"/>
    </xf>
    <xf numFmtId="2" fontId="12" fillId="6" borderId="57" xfId="8" applyNumberFormat="1" applyFont="1" applyFill="1" applyBorder="1" applyAlignment="1">
      <alignment horizontal="center"/>
    </xf>
    <xf numFmtId="2" fontId="12" fillId="6" borderId="58" xfId="8" applyNumberFormat="1" applyFont="1" applyFill="1" applyBorder="1" applyAlignment="1">
      <alignment horizontal="center"/>
    </xf>
    <xf numFmtId="2" fontId="12" fillId="6" borderId="41" xfId="8" applyNumberFormat="1" applyFont="1" applyFill="1" applyBorder="1" applyAlignment="1">
      <alignment horizontal="center"/>
    </xf>
    <xf numFmtId="1" fontId="13" fillId="0" borderId="4" xfId="8" applyNumberFormat="1" applyFont="1" applyBorder="1" applyAlignment="1">
      <alignment horizontal="center"/>
    </xf>
    <xf numFmtId="1" fontId="13" fillId="0" borderId="10" xfId="8" applyNumberFormat="1" applyFont="1" applyBorder="1" applyAlignment="1">
      <alignment horizontal="center"/>
    </xf>
    <xf numFmtId="0" fontId="23" fillId="0" borderId="0" xfId="0" applyFont="1" applyAlignment="1">
      <alignment horizontal="center"/>
    </xf>
    <xf numFmtId="0" fontId="9" fillId="0" borderId="28" xfId="8" applyFont="1" applyBorder="1"/>
    <xf numFmtId="0" fontId="9" fillId="0" borderId="60" xfId="8" applyFont="1" applyBorder="1"/>
    <xf numFmtId="0" fontId="9" fillId="0" borderId="39" xfId="8" applyFont="1" applyBorder="1"/>
    <xf numFmtId="2" fontId="9" fillId="11" borderId="42" xfId="8" applyNumberFormat="1" applyFont="1" applyFill="1" applyBorder="1" applyAlignment="1">
      <alignment horizontal="center"/>
    </xf>
    <xf numFmtId="2" fontId="9" fillId="13" borderId="38" xfId="8" applyNumberFormat="1" applyFont="1" applyFill="1" applyBorder="1" applyAlignment="1">
      <alignment horizontal="center"/>
    </xf>
    <xf numFmtId="0" fontId="8" fillId="0" borderId="0" xfId="7" applyFont="1" applyBorder="1"/>
    <xf numFmtId="0" fontId="21" fillId="0" borderId="0" xfId="67" applyFont="1" applyFill="1" applyAlignment="1" applyProtection="1"/>
    <xf numFmtId="0" fontId="49" fillId="0" borderId="0" xfId="0" applyFont="1"/>
    <xf numFmtId="0" fontId="50" fillId="0" borderId="0" xfId="0" applyNumberFormat="1" applyFont="1" applyAlignment="1">
      <alignment horizontal="center"/>
    </xf>
    <xf numFmtId="0" fontId="49" fillId="0" borderId="0" xfId="0" applyNumberFormat="1" applyFont="1"/>
    <xf numFmtId="0" fontId="8" fillId="0" borderId="0" xfId="0" applyFont="1"/>
    <xf numFmtId="0" fontId="15" fillId="0" borderId="0" xfId="0" applyFont="1" applyAlignment="1">
      <alignment horizontal="center"/>
    </xf>
    <xf numFmtId="0" fontId="15" fillId="0" borderId="0" xfId="0" applyNumberFormat="1" applyFont="1" applyAlignment="1">
      <alignment horizontal="center"/>
    </xf>
    <xf numFmtId="0" fontId="8" fillId="0" borderId="0" xfId="0" applyNumberFormat="1" applyFont="1"/>
    <xf numFmtId="0" fontId="15" fillId="0" borderId="0" xfId="0" applyFont="1" applyFill="1" applyAlignment="1">
      <alignment horizontal="center"/>
    </xf>
    <xf numFmtId="0" fontId="15" fillId="0" borderId="0" xfId="0" applyNumberFormat="1" applyFont="1" applyFill="1" applyAlignment="1">
      <alignment horizontal="center"/>
    </xf>
    <xf numFmtId="0" fontId="8" fillId="0" borderId="0" xfId="0" applyNumberFormat="1" applyFont="1" applyFill="1"/>
    <xf numFmtId="0" fontId="51" fillId="0" borderId="0" xfId="0" applyFont="1" applyFill="1"/>
    <xf numFmtId="0" fontId="52" fillId="0" borderId="0" xfId="0" applyFont="1" applyFill="1" applyAlignment="1">
      <alignment horizontal="center"/>
    </xf>
    <xf numFmtId="0" fontId="52" fillId="0" borderId="0" xfId="0" applyNumberFormat="1" applyFont="1" applyFill="1" applyAlignment="1">
      <alignment horizontal="center"/>
    </xf>
    <xf numFmtId="0" fontId="51" fillId="0" borderId="0" xfId="0" applyNumberFormat="1" applyFont="1" applyFill="1"/>
    <xf numFmtId="0" fontId="16" fillId="0" borderId="0" xfId="0" applyFont="1" applyFill="1" applyBorder="1" applyAlignment="1">
      <alignment vertical="center"/>
    </xf>
    <xf numFmtId="0" fontId="7" fillId="0" borderId="0" xfId="7" applyFont="1"/>
    <xf numFmtId="0" fontId="7" fillId="0" borderId="0" xfId="7" applyFont="1" applyAlignment="1">
      <alignment horizontal="right"/>
    </xf>
    <xf numFmtId="0" fontId="7" fillId="3" borderId="0" xfId="7" applyFont="1" applyFill="1"/>
    <xf numFmtId="0" fontId="24" fillId="0" borderId="0" xfId="68" applyFont="1" applyAlignment="1" applyProtection="1"/>
    <xf numFmtId="0" fontId="17" fillId="3" borderId="0" xfId="7" applyFont="1" applyFill="1"/>
    <xf numFmtId="0" fontId="55" fillId="3" borderId="0" xfId="7" applyFont="1" applyFill="1"/>
    <xf numFmtId="0" fontId="56" fillId="3" borderId="0" xfId="7" applyFont="1" applyFill="1" applyBorder="1" applyAlignment="1">
      <alignment horizontal="center" vertical="center" wrapText="1"/>
    </xf>
    <xf numFmtId="0" fontId="50" fillId="3" borderId="41" xfId="7" applyFont="1" applyFill="1" applyBorder="1" applyAlignment="1">
      <alignment horizontal="center"/>
    </xf>
    <xf numFmtId="0" fontId="50" fillId="3" borderId="41" xfId="7" applyFont="1" applyFill="1" applyBorder="1" applyAlignment="1">
      <alignment horizontal="center" wrapText="1"/>
    </xf>
    <xf numFmtId="0" fontId="23" fillId="0" borderId="55" xfId="7" applyFont="1" applyFill="1" applyBorder="1" applyAlignment="1"/>
    <xf numFmtId="0" fontId="23" fillId="0" borderId="0" xfId="7" applyFont="1" applyFill="1" applyAlignment="1"/>
    <xf numFmtId="0" fontId="23" fillId="0" borderId="0" xfId="7" applyFont="1" applyFill="1"/>
    <xf numFmtId="0" fontId="23" fillId="0" borderId="30" xfId="7" applyFont="1" applyFill="1" applyBorder="1" applyAlignment="1"/>
    <xf numFmtId="0" fontId="23" fillId="0" borderId="61" xfId="7" applyFont="1" applyFill="1" applyBorder="1" applyAlignment="1"/>
    <xf numFmtId="0" fontId="23" fillId="0" borderId="31" xfId="7" applyFont="1" applyFill="1" applyBorder="1" applyAlignment="1"/>
    <xf numFmtId="0" fontId="23" fillId="0" borderId="32" xfId="7" applyFont="1" applyFill="1" applyBorder="1" applyAlignment="1"/>
    <xf numFmtId="0" fontId="23" fillId="0" borderId="62" xfId="7" applyFont="1" applyFill="1" applyBorder="1" applyAlignment="1"/>
    <xf numFmtId="0" fontId="25" fillId="0" borderId="0" xfId="7" applyFont="1" applyFill="1" applyAlignment="1"/>
    <xf numFmtId="0" fontId="50" fillId="0" borderId="52" xfId="7" applyFont="1" applyFill="1" applyBorder="1" applyAlignment="1"/>
    <xf numFmtId="0" fontId="50" fillId="0" borderId="52" xfId="7" applyFont="1" applyFill="1" applyBorder="1" applyAlignment="1">
      <alignment horizontal="center"/>
    </xf>
    <xf numFmtId="0" fontId="25" fillId="0" borderId="8" xfId="7" applyFont="1" applyFill="1" applyBorder="1" applyAlignment="1">
      <alignment horizontal="center" wrapText="1"/>
    </xf>
    <xf numFmtId="0" fontId="23" fillId="0" borderId="9" xfId="7" applyFont="1" applyFill="1" applyBorder="1"/>
    <xf numFmtId="0" fontId="23" fillId="0" borderId="0" xfId="7" applyFont="1" applyFill="1" applyBorder="1"/>
    <xf numFmtId="0" fontId="25" fillId="0" borderId="11" xfId="7" applyFont="1" applyFill="1" applyBorder="1" applyAlignment="1">
      <alignment horizontal="center" wrapText="1"/>
    </xf>
    <xf numFmtId="0" fontId="17" fillId="0" borderId="0" xfId="7" applyFont="1" applyFill="1" applyAlignment="1">
      <alignment wrapText="1"/>
    </xf>
    <xf numFmtId="0" fontId="17" fillId="0" borderId="0" xfId="7" applyFont="1" applyFill="1" applyAlignment="1"/>
    <xf numFmtId="1" fontId="13" fillId="0" borderId="2" xfId="8" applyNumberFormat="1" applyFont="1" applyFill="1" applyBorder="1" applyAlignment="1">
      <alignment horizontal="center"/>
    </xf>
    <xf numFmtId="1" fontId="13" fillId="0" borderId="5" xfId="8" applyNumberFormat="1" applyFont="1" applyFill="1" applyBorder="1" applyAlignment="1">
      <alignment horizontal="center"/>
    </xf>
    <xf numFmtId="1" fontId="13" fillId="0" borderId="20" xfId="8" applyNumberFormat="1" applyFont="1" applyFill="1" applyBorder="1" applyAlignment="1">
      <alignment horizontal="center"/>
    </xf>
    <xf numFmtId="1" fontId="13" fillId="0" borderId="21" xfId="8" applyNumberFormat="1" applyFont="1" applyFill="1" applyBorder="1" applyAlignment="1">
      <alignment horizontal="center"/>
    </xf>
    <xf numFmtId="0" fontId="57" fillId="3" borderId="0" xfId="15" applyFont="1" applyFill="1" applyAlignment="1" applyProtection="1">
      <alignment horizontal="left"/>
    </xf>
    <xf numFmtId="0" fontId="57" fillId="0" borderId="0" xfId="15" applyFont="1" applyFill="1" applyAlignment="1" applyProtection="1"/>
    <xf numFmtId="0" fontId="57" fillId="0" borderId="0" xfId="15" applyFont="1" applyAlignment="1" applyProtection="1"/>
    <xf numFmtId="0" fontId="57" fillId="3" borderId="0" xfId="15" applyFont="1" applyFill="1" applyAlignment="1" applyProtection="1"/>
    <xf numFmtId="0" fontId="23" fillId="0" borderId="12" xfId="7" applyFont="1" applyFill="1" applyBorder="1"/>
    <xf numFmtId="0" fontId="53" fillId="0" borderId="10" xfId="15" applyFont="1" applyBorder="1" applyAlignment="1" applyProtection="1"/>
    <xf numFmtId="0" fontId="58" fillId="0" borderId="0" xfId="0" applyFont="1" applyFill="1" applyAlignment="1">
      <alignment horizontal="right" vertical="center"/>
    </xf>
    <xf numFmtId="0" fontId="5" fillId="0" borderId="0" xfId="0" applyFont="1" applyFill="1"/>
    <xf numFmtId="0" fontId="5" fillId="0" borderId="0" xfId="0" applyFont="1"/>
    <xf numFmtId="0" fontId="5" fillId="0" borderId="0" xfId="0" applyFont="1" applyAlignment="1">
      <alignment horizontal="center" vertical="center" wrapText="1"/>
    </xf>
    <xf numFmtId="0" fontId="53" fillId="0" borderId="10" xfId="15" applyBorder="1" applyAlignment="1" applyProtection="1"/>
    <xf numFmtId="2" fontId="9" fillId="0" borderId="5" xfId="0" applyNumberFormat="1" applyFont="1" applyFill="1" applyBorder="1" applyAlignment="1">
      <alignment horizontal="center"/>
    </xf>
    <xf numFmtId="2" fontId="9" fillId="0" borderId="3" xfId="0" applyNumberFormat="1" applyFont="1" applyFill="1" applyBorder="1" applyAlignment="1">
      <alignment horizontal="center"/>
    </xf>
    <xf numFmtId="2" fontId="9" fillId="0" borderId="4" xfId="8" applyNumberFormat="1" applyFont="1" applyFill="1" applyBorder="1" applyAlignment="1">
      <alignment horizontal="center" vertical="center"/>
    </xf>
    <xf numFmtId="0" fontId="15" fillId="0" borderId="0" xfId="71" applyFont="1" applyAlignment="1">
      <alignment horizontal="center"/>
    </xf>
    <xf numFmtId="0" fontId="8" fillId="0" borderId="0" xfId="71" applyFont="1"/>
    <xf numFmtId="0" fontId="15" fillId="0" borderId="0" xfId="71" applyNumberFormat="1" applyFont="1" applyAlignment="1">
      <alignment horizontal="center"/>
    </xf>
    <xf numFmtId="0" fontId="8" fillId="0" borderId="0" xfId="71" applyNumberFormat="1" applyFont="1"/>
    <xf numFmtId="2" fontId="8" fillId="0" borderId="0" xfId="19" applyNumberFormat="1" applyFont="1" applyFill="1" applyBorder="1" applyAlignment="1">
      <alignment horizontal="center"/>
    </xf>
    <xf numFmtId="0" fontId="9" fillId="3" borderId="0" xfId="8" applyFont="1" applyFill="1" applyBorder="1" applyAlignment="1">
      <alignment horizontal="center" textRotation="90" wrapText="1"/>
    </xf>
    <xf numFmtId="0" fontId="9" fillId="3" borderId="0" xfId="8" applyFont="1" applyFill="1" applyBorder="1" applyAlignment="1">
      <alignment horizontal="center"/>
    </xf>
    <xf numFmtId="0" fontId="9" fillId="0" borderId="0" xfId="8" applyFont="1" applyBorder="1" applyAlignment="1">
      <alignment horizontal="center"/>
    </xf>
    <xf numFmtId="0" fontId="9" fillId="0" borderId="0" xfId="8" applyFont="1" applyBorder="1" applyAlignment="1"/>
    <xf numFmtId="9" fontId="9" fillId="0" borderId="0" xfId="4" applyFont="1" applyFill="1" applyBorder="1" applyAlignment="1">
      <alignment horizontal="center"/>
    </xf>
    <xf numFmtId="0" fontId="9" fillId="0" borderId="0" xfId="71" applyFont="1" applyBorder="1" applyAlignment="1">
      <alignment horizontal="center"/>
    </xf>
    <xf numFmtId="0" fontId="15" fillId="0" borderId="0" xfId="71" applyFont="1" applyFill="1" applyBorder="1" applyAlignment="1">
      <alignment horizontal="center"/>
    </xf>
    <xf numFmtId="9" fontId="9" fillId="0" borderId="0" xfId="8" applyNumberFormat="1" applyFont="1" applyBorder="1"/>
    <xf numFmtId="0" fontId="15" fillId="0" borderId="0" xfId="0" applyFont="1" applyBorder="1" applyAlignment="1">
      <alignment horizontal="center"/>
    </xf>
    <xf numFmtId="2" fontId="9" fillId="0" borderId="3" xfId="7" applyNumberFormat="1" applyFont="1" applyFill="1" applyBorder="1" applyAlignment="1">
      <alignment horizontal="center"/>
    </xf>
    <xf numFmtId="0" fontId="25" fillId="0" borderId="41" xfId="71" applyFont="1" applyFill="1" applyBorder="1" applyAlignment="1">
      <alignment horizontal="center" vertical="center" wrapText="1"/>
    </xf>
    <xf numFmtId="0" fontId="23" fillId="0" borderId="15" xfId="71" applyFont="1" applyBorder="1" applyAlignment="1">
      <alignment vertical="center" wrapText="1"/>
    </xf>
    <xf numFmtId="0" fontId="24" fillId="0" borderId="0" xfId="72" applyFont="1" applyAlignment="1" applyProtection="1"/>
    <xf numFmtId="0" fontId="23" fillId="0" borderId="0" xfId="71" applyFont="1"/>
    <xf numFmtId="0" fontId="23" fillId="0" borderId="0" xfId="71" applyFont="1" applyAlignment="1">
      <alignment horizontal="center"/>
    </xf>
    <xf numFmtId="0" fontId="23" fillId="0" borderId="25" xfId="7" applyFont="1" applyFill="1" applyBorder="1" applyAlignment="1"/>
    <xf numFmtId="0" fontId="23" fillId="0" borderId="0" xfId="0" applyFont="1" applyAlignment="1">
      <alignment wrapText="1"/>
    </xf>
    <xf numFmtId="9" fontId="9" fillId="0" borderId="2" xfId="8" applyNumberFormat="1" applyFont="1" applyBorder="1"/>
    <xf numFmtId="9" fontId="9" fillId="0" borderId="21" xfId="8" applyNumberFormat="1" applyFont="1" applyBorder="1"/>
    <xf numFmtId="0" fontId="24" fillId="3" borderId="0" xfId="15" applyFont="1" applyFill="1" applyAlignment="1" applyProtection="1">
      <alignment horizontal="center" vertical="center"/>
    </xf>
    <xf numFmtId="0" fontId="13" fillId="5" borderId="11" xfId="8" applyFont="1" applyFill="1" applyBorder="1" applyAlignment="1">
      <alignment horizontal="center"/>
    </xf>
    <xf numFmtId="0" fontId="13" fillId="5" borderId="17" xfId="8" applyFont="1" applyFill="1" applyBorder="1" applyAlignment="1">
      <alignment horizontal="center"/>
    </xf>
    <xf numFmtId="0" fontId="13" fillId="5" borderId="12" xfId="8" applyFont="1" applyFill="1" applyBorder="1" applyAlignment="1">
      <alignment horizontal="center"/>
    </xf>
    <xf numFmtId="9" fontId="9" fillId="0" borderId="10" xfId="4" applyNumberFormat="1" applyFont="1" applyBorder="1" applyAlignment="1">
      <alignment horizontal="center"/>
    </xf>
    <xf numFmtId="9" fontId="9" fillId="0" borderId="5" xfId="8" applyNumberFormat="1" applyFont="1" applyBorder="1"/>
    <xf numFmtId="2" fontId="23" fillId="0" borderId="23" xfId="0" applyNumberFormat="1" applyFont="1" applyBorder="1" applyAlignment="1">
      <alignment horizontal="center"/>
    </xf>
    <xf numFmtId="0" fontId="7" fillId="3" borderId="0" xfId="8" applyFont="1" applyFill="1" applyAlignment="1">
      <alignment horizontal="right"/>
    </xf>
    <xf numFmtId="0" fontId="15" fillId="0" borderId="0" xfId="10" applyFont="1" applyAlignment="1">
      <alignment horizontal="left"/>
    </xf>
    <xf numFmtId="0" fontId="7" fillId="0" borderId="0" xfId="8" applyFont="1" applyFill="1" applyAlignment="1">
      <alignment horizontal="right"/>
    </xf>
    <xf numFmtId="0" fontId="7" fillId="0" borderId="0" xfId="7" applyFont="1" applyFill="1" applyAlignment="1">
      <alignment horizontal="right"/>
    </xf>
    <xf numFmtId="0" fontId="7" fillId="0" borderId="0" xfId="0" applyFont="1" applyAlignment="1">
      <alignment horizontal="right"/>
    </xf>
    <xf numFmtId="2" fontId="7" fillId="0" borderId="0" xfId="0" applyNumberFormat="1" applyFont="1" applyAlignment="1">
      <alignment horizontal="left"/>
    </xf>
    <xf numFmtId="1" fontId="8" fillId="0" borderId="0" xfId="0" applyNumberFormat="1" applyFont="1" applyAlignment="1">
      <alignment horizontal="left"/>
    </xf>
    <xf numFmtId="0" fontId="8" fillId="0" borderId="22" xfId="71" applyFont="1" applyBorder="1"/>
    <xf numFmtId="0" fontId="51" fillId="0" borderId="0" xfId="0" applyFont="1"/>
    <xf numFmtId="0" fontId="10" fillId="6" borderId="41" xfId="10" applyFont="1" applyFill="1" applyBorder="1"/>
    <xf numFmtId="0" fontId="14" fillId="0" borderId="59" xfId="8" applyFont="1" applyBorder="1"/>
    <xf numFmtId="0" fontId="9" fillId="0" borderId="10" xfId="0" applyFont="1" applyBorder="1"/>
    <xf numFmtId="0" fontId="14" fillId="0" borderId="26" xfId="8" applyFont="1" applyBorder="1"/>
    <xf numFmtId="0" fontId="14" fillId="0" borderId="10" xfId="0" applyFont="1" applyBorder="1"/>
    <xf numFmtId="0" fontId="9" fillId="0" borderId="11" xfId="0" applyFont="1" applyBorder="1"/>
    <xf numFmtId="0" fontId="61" fillId="0" borderId="0" xfId="10" applyFont="1"/>
    <xf numFmtId="0" fontId="14" fillId="0" borderId="27" xfId="8" applyFont="1" applyBorder="1"/>
    <xf numFmtId="0" fontId="9" fillId="0" borderId="20" xfId="0" applyFont="1" applyFill="1" applyBorder="1" applyAlignment="1">
      <alignment horizontal="center" textRotation="90"/>
    </xf>
    <xf numFmtId="0" fontId="9" fillId="0" borderId="2" xfId="0" applyFont="1" applyFill="1" applyBorder="1" applyAlignment="1">
      <alignment horizontal="center" textRotation="90"/>
    </xf>
    <xf numFmtId="0" fontId="9" fillId="0" borderId="21" xfId="0" applyFont="1" applyFill="1" applyBorder="1" applyAlignment="1">
      <alignment horizontal="center" textRotation="90"/>
    </xf>
    <xf numFmtId="0" fontId="9" fillId="0" borderId="0" xfId="10" applyFont="1" applyFill="1"/>
    <xf numFmtId="0" fontId="9" fillId="0" borderId="0" xfId="7" applyFont="1" applyFill="1" applyAlignment="1">
      <alignment horizontal="right"/>
    </xf>
    <xf numFmtId="0" fontId="9" fillId="0" borderId="0" xfId="10" applyFont="1" applyFill="1" applyAlignment="1">
      <alignment horizontal="center"/>
    </xf>
    <xf numFmtId="0" fontId="62" fillId="0" borderId="0" xfId="7" applyFont="1" applyAlignment="1">
      <alignment horizontal="right"/>
    </xf>
    <xf numFmtId="0" fontId="62" fillId="0" borderId="0" xfId="7" applyFont="1"/>
    <xf numFmtId="0" fontId="9" fillId="0" borderId="0" xfId="10" applyFont="1" applyFill="1" applyBorder="1"/>
    <xf numFmtId="0" fontId="9" fillId="0" borderId="0" xfId="10" applyFont="1" applyFill="1" applyBorder="1" applyAlignment="1">
      <alignment horizontal="center"/>
    </xf>
    <xf numFmtId="0" fontId="9" fillId="0" borderId="0" xfId="10" applyFont="1"/>
    <xf numFmtId="0" fontId="9" fillId="3" borderId="0" xfId="10" applyFont="1" applyFill="1" applyAlignment="1">
      <alignment horizontal="center"/>
    </xf>
    <xf numFmtId="0" fontId="9" fillId="0" borderId="2" xfId="5" applyFont="1" applyFill="1" applyBorder="1" applyAlignment="1">
      <alignment horizontal="center" textRotation="90"/>
    </xf>
    <xf numFmtId="164" fontId="8" fillId="0" borderId="3" xfId="5" applyNumberFormat="1" applyFont="1" applyFill="1" applyBorder="1"/>
    <xf numFmtId="164" fontId="8" fillId="0" borderId="3" xfId="5" quotePrefix="1" applyNumberFormat="1" applyFont="1" applyFill="1" applyBorder="1"/>
    <xf numFmtId="0" fontId="23" fillId="0" borderId="8" xfId="0" applyFont="1" applyBorder="1"/>
    <xf numFmtId="0" fontId="23" fillId="0" borderId="23" xfId="0" applyFont="1" applyBorder="1"/>
    <xf numFmtId="0" fontId="23" fillId="0" borderId="9" xfId="0" applyFont="1" applyBorder="1" applyAlignment="1">
      <alignment horizontal="center"/>
    </xf>
    <xf numFmtId="0" fontId="22" fillId="0" borderId="6" xfId="0" applyFont="1" applyBorder="1" applyAlignment="1">
      <alignment horizontal="center"/>
    </xf>
    <xf numFmtId="0" fontId="22" fillId="0" borderId="63" xfId="0" applyFont="1" applyBorder="1" applyAlignment="1">
      <alignment horizontal="center"/>
    </xf>
    <xf numFmtId="0" fontId="22" fillId="0" borderId="40" xfId="0" applyFont="1" applyBorder="1" applyAlignment="1">
      <alignment horizontal="center"/>
    </xf>
    <xf numFmtId="167" fontId="22" fillId="0" borderId="7" xfId="0" applyNumberFormat="1" applyFont="1" applyBorder="1" applyAlignment="1">
      <alignment horizontal="center"/>
    </xf>
    <xf numFmtId="0" fontId="53" fillId="0" borderId="23" xfId="15" applyFill="1" applyBorder="1" applyAlignment="1" applyProtection="1">
      <alignment horizontal="left" vertical="top"/>
    </xf>
    <xf numFmtId="167" fontId="23" fillId="0" borderId="9" xfId="0" applyNumberFormat="1" applyFont="1" applyBorder="1" applyAlignment="1">
      <alignment horizontal="center"/>
    </xf>
    <xf numFmtId="0" fontId="23" fillId="0" borderId="10" xfId="0" applyFont="1" applyBorder="1"/>
    <xf numFmtId="0" fontId="23" fillId="0" borderId="17" xfId="0" applyFont="1" applyBorder="1"/>
    <xf numFmtId="0" fontId="23" fillId="0" borderId="12" xfId="0" applyFont="1" applyBorder="1"/>
    <xf numFmtId="0" fontId="2" fillId="0" borderId="0" xfId="7"/>
    <xf numFmtId="15" fontId="2" fillId="0" borderId="0" xfId="7" applyNumberFormat="1"/>
    <xf numFmtId="167" fontId="53" fillId="0" borderId="0" xfId="15" applyNumberFormat="1" applyFill="1" applyBorder="1" applyAlignment="1" applyProtection="1">
      <alignment horizontal="center"/>
      <protection locked="0"/>
    </xf>
    <xf numFmtId="0" fontId="24" fillId="0" borderId="0" xfId="68" applyFont="1" applyAlignment="1" applyProtection="1">
      <alignment horizontal="center"/>
    </xf>
    <xf numFmtId="0" fontId="53" fillId="0" borderId="8" xfId="15" applyBorder="1" applyAlignment="1" applyProtection="1"/>
    <xf numFmtId="0" fontId="21" fillId="0" borderId="0" xfId="73" applyFont="1" applyFill="1" applyAlignment="1" applyProtection="1"/>
    <xf numFmtId="0" fontId="49" fillId="0" borderId="0" xfId="10" applyFont="1"/>
    <xf numFmtId="0" fontId="16" fillId="0" borderId="0" xfId="10" applyFont="1" applyAlignment="1">
      <alignment horizontal="right"/>
    </xf>
    <xf numFmtId="0" fontId="50" fillId="0" borderId="0" xfId="10" applyFont="1" applyAlignment="1">
      <alignment horizontal="center"/>
    </xf>
    <xf numFmtId="0" fontId="7" fillId="0" borderId="0" xfId="10" applyFont="1" applyAlignment="1">
      <alignment horizontal="right"/>
    </xf>
    <xf numFmtId="0" fontId="9" fillId="0" borderId="0" xfId="10" applyFont="1" applyAlignment="1">
      <alignment horizontal="left"/>
    </xf>
    <xf numFmtId="0" fontId="9" fillId="0" borderId="0" xfId="10" applyFont="1" applyAlignment="1">
      <alignment horizontal="center"/>
    </xf>
    <xf numFmtId="0" fontId="64" fillId="0" borderId="0" xfId="73" applyFont="1" applyFill="1" applyAlignment="1" applyProtection="1"/>
    <xf numFmtId="0" fontId="9" fillId="0" borderId="0" xfId="10" applyFont="1" applyAlignment="1">
      <alignment horizontal="right"/>
    </xf>
    <xf numFmtId="167" fontId="9" fillId="0" borderId="0" xfId="10" applyNumberFormat="1" applyFont="1" applyAlignment="1">
      <alignment horizontal="left"/>
    </xf>
    <xf numFmtId="1" fontId="9" fillId="0" borderId="0" xfId="10" applyNumberFormat="1" applyFont="1" applyAlignment="1">
      <alignment horizontal="center"/>
    </xf>
    <xf numFmtId="1" fontId="9" fillId="0" borderId="0" xfId="10" applyNumberFormat="1" applyFont="1" applyAlignment="1">
      <alignment horizontal="left"/>
    </xf>
    <xf numFmtId="0" fontId="8" fillId="0" borderId="0" xfId="10" applyFont="1"/>
    <xf numFmtId="0" fontId="15" fillId="0" borderId="0" xfId="10" applyFont="1" applyAlignment="1">
      <alignment horizontal="center"/>
    </xf>
    <xf numFmtId="0" fontId="15" fillId="0" borderId="0" xfId="10" applyFont="1"/>
    <xf numFmtId="0" fontId="52" fillId="0" borderId="0" xfId="10" applyFont="1" applyAlignment="1">
      <alignment horizontal="center"/>
    </xf>
    <xf numFmtId="0" fontId="51" fillId="0" borderId="0" xfId="10" applyFont="1"/>
    <xf numFmtId="2" fontId="7" fillId="0" borderId="0" xfId="10" applyNumberFormat="1" applyFont="1" applyAlignment="1">
      <alignment horizontal="left"/>
    </xf>
    <xf numFmtId="0" fontId="16" fillId="0" borderId="0" xfId="10" applyFont="1" applyAlignment="1"/>
    <xf numFmtId="0" fontId="16" fillId="0" borderId="0" xfId="10" applyFont="1" applyBorder="1" applyAlignment="1"/>
    <xf numFmtId="0" fontId="9" fillId="0" borderId="0" xfId="10" applyFont="1" applyBorder="1" applyAlignment="1">
      <alignment horizontal="left"/>
    </xf>
    <xf numFmtId="0" fontId="9" fillId="0" borderId="0" xfId="10" applyFont="1" applyBorder="1" applyAlignment="1">
      <alignment horizontal="center"/>
    </xf>
    <xf numFmtId="2" fontId="9" fillId="0" borderId="0" xfId="74" applyNumberFormat="1" applyFont="1" applyBorder="1" applyAlignment="1">
      <alignment horizontal="center"/>
    </xf>
    <xf numFmtId="0" fontId="15" fillId="0" borderId="0" xfId="10" applyFont="1" applyBorder="1" applyAlignment="1">
      <alignment horizontal="center"/>
    </xf>
    <xf numFmtId="0" fontId="59" fillId="0" borderId="0" xfId="75" applyFont="1" applyAlignment="1">
      <alignment horizontal="center" vertical="center"/>
    </xf>
    <xf numFmtId="0" fontId="65" fillId="0" borderId="0" xfId="75" applyFont="1" applyAlignment="1">
      <alignment horizontal="center" vertical="center" wrapText="1"/>
    </xf>
    <xf numFmtId="0" fontId="67" fillId="0" borderId="8" xfId="75" applyFont="1" applyBorder="1"/>
    <xf numFmtId="0" fontId="67" fillId="0" borderId="23" xfId="75" applyFont="1" applyBorder="1"/>
    <xf numFmtId="0" fontId="67" fillId="0" borderId="23" xfId="23" applyFont="1" applyBorder="1" applyAlignment="1">
      <alignment horizontal="center" vertical="center"/>
    </xf>
    <xf numFmtId="0" fontId="67" fillId="0" borderId="10" xfId="75" applyFont="1" applyBorder="1"/>
    <xf numFmtId="167" fontId="58" fillId="0" borderId="0" xfId="0" applyNumberFormat="1" applyFont="1" applyFill="1" applyBorder="1" applyAlignment="1" applyProtection="1">
      <alignment horizontal="left" vertical="center"/>
      <protection locked="0"/>
    </xf>
    <xf numFmtId="0" fontId="67" fillId="0" borderId="9" xfId="23" applyFont="1" applyBorder="1" applyAlignment="1">
      <alignment horizontal="center" vertical="center"/>
    </xf>
    <xf numFmtId="0" fontId="67" fillId="0" borderId="11" xfId="75" applyFont="1" applyBorder="1"/>
    <xf numFmtId="0" fontId="67" fillId="0" borderId="17" xfId="75" applyFont="1" applyBorder="1"/>
    <xf numFmtId="0" fontId="67" fillId="0" borderId="17" xfId="23" applyFont="1" applyBorder="1" applyAlignment="1">
      <alignment horizontal="center" vertical="center"/>
    </xf>
    <xf numFmtId="0" fontId="67" fillId="0" borderId="12" xfId="23" applyFont="1" applyBorder="1" applyAlignment="1">
      <alignment horizontal="center" vertical="center"/>
    </xf>
    <xf numFmtId="0" fontId="59" fillId="0" borderId="0" xfId="0" applyFont="1"/>
    <xf numFmtId="2" fontId="8" fillId="0" borderId="2" xfId="7" applyNumberFormat="1" applyFont="1" applyFill="1" applyBorder="1" applyAlignment="1">
      <alignment horizontal="center"/>
    </xf>
    <xf numFmtId="2" fontId="7" fillId="0" borderId="0" xfId="7" applyNumberFormat="1" applyFont="1" applyFill="1" applyAlignment="1">
      <alignment horizontal="left"/>
    </xf>
    <xf numFmtId="2" fontId="7" fillId="3" borderId="0" xfId="8" applyNumberFormat="1" applyFont="1" applyFill="1" applyAlignment="1">
      <alignment horizontal="left"/>
    </xf>
    <xf numFmtId="0" fontId="53" fillId="0" borderId="64" xfId="15" applyFill="1" applyBorder="1" applyAlignment="1" applyProtection="1">
      <alignment horizontal="left" vertical="top"/>
    </xf>
    <xf numFmtId="2" fontId="23" fillId="0" borderId="64" xfId="0" applyNumberFormat="1" applyFont="1" applyBorder="1" applyAlignment="1">
      <alignment horizontal="center"/>
    </xf>
    <xf numFmtId="167" fontId="23" fillId="0" borderId="65" xfId="0" applyNumberFormat="1" applyFont="1" applyBorder="1" applyAlignment="1">
      <alignment horizontal="center"/>
    </xf>
    <xf numFmtId="0" fontId="53" fillId="3" borderId="64" xfId="15" applyFill="1" applyBorder="1" applyAlignment="1" applyProtection="1">
      <alignment horizontal="left" vertical="top"/>
    </xf>
    <xf numFmtId="0" fontId="53" fillId="0" borderId="64" xfId="15" applyFont="1" applyBorder="1" applyAlignment="1" applyProtection="1">
      <alignment horizontal="left" vertical="top"/>
    </xf>
    <xf numFmtId="0" fontId="53" fillId="3" borderId="64" xfId="15" applyFont="1" applyFill="1" applyBorder="1" applyAlignment="1" applyProtection="1">
      <alignment horizontal="left" vertical="top"/>
    </xf>
    <xf numFmtId="0" fontId="24" fillId="0" borderId="64" xfId="15" applyFont="1" applyBorder="1" applyAlignment="1" applyProtection="1">
      <alignment horizontal="left" vertical="top"/>
    </xf>
    <xf numFmtId="0" fontId="23" fillId="0" borderId="64" xfId="0" applyFont="1" applyBorder="1" applyAlignment="1">
      <alignment horizontal="left" vertical="top"/>
    </xf>
    <xf numFmtId="0" fontId="23" fillId="0" borderId="64" xfId="0" applyFont="1" applyBorder="1"/>
    <xf numFmtId="167" fontId="23" fillId="0" borderId="65" xfId="0" applyNumberFormat="1" applyFont="1" applyBorder="1"/>
    <xf numFmtId="0" fontId="23" fillId="0" borderId="65" xfId="0" applyFont="1" applyBorder="1"/>
    <xf numFmtId="0" fontId="25" fillId="0" borderId="64" xfId="0" applyFont="1" applyBorder="1" applyAlignment="1">
      <alignment horizontal="center" vertical="center"/>
    </xf>
    <xf numFmtId="0" fontId="25" fillId="0" borderId="64" xfId="0" applyFont="1" applyBorder="1" applyAlignment="1">
      <alignment horizontal="center" wrapText="1"/>
    </xf>
    <xf numFmtId="15" fontId="23" fillId="0" borderId="64" xfId="0" applyNumberFormat="1" applyFont="1" applyBorder="1" applyAlignment="1">
      <alignment horizontal="center" vertical="top"/>
    </xf>
    <xf numFmtId="0" fontId="23" fillId="0" borderId="64" xfId="0" applyFont="1" applyBorder="1" applyAlignment="1">
      <alignment vertical="top"/>
    </xf>
    <xf numFmtId="0" fontId="23" fillId="0" borderId="64" xfId="0" applyFont="1" applyBorder="1" applyAlignment="1">
      <alignment horizontal="left" vertical="top" wrapText="1"/>
    </xf>
    <xf numFmtId="0" fontId="23" fillId="0" borderId="64" xfId="0" applyFont="1" applyFill="1" applyBorder="1" applyAlignment="1">
      <alignment vertical="top"/>
    </xf>
    <xf numFmtId="0" fontId="23" fillId="0" borderId="64" xfId="0" applyFont="1" applyFill="1" applyBorder="1" applyAlignment="1">
      <alignment vertical="top" wrapText="1"/>
    </xf>
    <xf numFmtId="15" fontId="23" fillId="0" borderId="64" xfId="10" applyNumberFormat="1" applyFont="1" applyBorder="1" applyAlignment="1">
      <alignment horizontal="center"/>
    </xf>
    <xf numFmtId="0" fontId="23" fillId="0" borderId="64" xfId="0" applyFont="1" applyBorder="1" applyAlignment="1"/>
    <xf numFmtId="0" fontId="23" fillId="0" borderId="64" xfId="10" applyFont="1" applyBorder="1" applyAlignment="1">
      <alignment wrapText="1"/>
    </xf>
    <xf numFmtId="15" fontId="23" fillId="0" borderId="64" xfId="0" applyNumberFormat="1" applyFont="1" applyBorder="1" applyAlignment="1">
      <alignment horizontal="center"/>
    </xf>
    <xf numFmtId="0" fontId="23" fillId="0" borderId="64" xfId="0" applyFont="1" applyBorder="1" applyAlignment="1">
      <alignment wrapText="1"/>
    </xf>
    <xf numFmtId="0" fontId="23" fillId="0" borderId="64" xfId="71" applyFont="1" applyBorder="1" applyAlignment="1">
      <alignment vertical="center"/>
    </xf>
    <xf numFmtId="0" fontId="23" fillId="0" borderId="64" xfId="71" applyFont="1" applyBorder="1" applyAlignment="1">
      <alignment wrapText="1"/>
    </xf>
    <xf numFmtId="0" fontId="23" fillId="0" borderId="64" xfId="10" applyFont="1" applyBorder="1"/>
    <xf numFmtId="15" fontId="23" fillId="0" borderId="64" xfId="0" applyNumberFormat="1" applyFont="1" applyBorder="1" applyAlignment="1">
      <alignment horizontal="center" vertical="center"/>
    </xf>
    <xf numFmtId="0" fontId="23" fillId="0" borderId="64" xfId="0" applyFont="1" applyBorder="1" applyAlignment="1">
      <alignment vertical="center"/>
    </xf>
    <xf numFmtId="0" fontId="23" fillId="0" borderId="64" xfId="0" applyFont="1" applyBorder="1" applyAlignment="1">
      <alignment horizontal="center"/>
    </xf>
    <xf numFmtId="166" fontId="8" fillId="3" borderId="64" xfId="6" applyNumberFormat="1" applyFont="1" applyFill="1" applyBorder="1"/>
    <xf numFmtId="166" fontId="8" fillId="3" borderId="64" xfId="8" applyNumberFormat="1" applyFont="1" applyFill="1" applyBorder="1"/>
    <xf numFmtId="0" fontId="9" fillId="0" borderId="64" xfId="8" applyFont="1" applyFill="1" applyBorder="1" applyAlignment="1">
      <alignment horizontal="right"/>
    </xf>
    <xf numFmtId="0" fontId="9" fillId="0" borderId="64" xfId="0" applyFont="1" applyFill="1" applyBorder="1" applyAlignment="1">
      <alignment horizontal="center" textRotation="90"/>
    </xf>
    <xf numFmtId="0" fontId="9" fillId="0" borderId="66" xfId="0" applyFont="1" applyFill="1" applyBorder="1" applyAlignment="1">
      <alignment horizontal="center" textRotation="90"/>
    </xf>
    <xf numFmtId="0" fontId="9" fillId="0" borderId="65" xfId="0" applyFont="1" applyFill="1" applyBorder="1" applyAlignment="1">
      <alignment horizontal="center" textRotation="90"/>
    </xf>
    <xf numFmtId="0" fontId="9" fillId="3" borderId="68" xfId="8" applyFont="1" applyFill="1" applyBorder="1" applyAlignment="1">
      <alignment horizontal="center" textRotation="90" wrapText="1"/>
    </xf>
    <xf numFmtId="0" fontId="9" fillId="0" borderId="69" xfId="0" applyFont="1" applyFill="1" applyBorder="1" applyAlignment="1">
      <alignment horizontal="center"/>
    </xf>
    <xf numFmtId="0" fontId="9" fillId="0" borderId="64" xfId="0" applyFont="1" applyFill="1" applyBorder="1" applyAlignment="1">
      <alignment horizontal="center"/>
    </xf>
    <xf numFmtId="0" fontId="9" fillId="0" borderId="70" xfId="0" applyFont="1" applyFill="1" applyBorder="1" applyAlignment="1">
      <alignment horizontal="center"/>
    </xf>
    <xf numFmtId="0" fontId="9" fillId="0" borderId="65" xfId="0" applyFont="1" applyFill="1" applyBorder="1" applyAlignment="1">
      <alignment horizontal="center"/>
    </xf>
    <xf numFmtId="0" fontId="9" fillId="0" borderId="68" xfId="8" applyFont="1" applyBorder="1" applyAlignment="1">
      <alignment horizontal="center"/>
    </xf>
    <xf numFmtId="0" fontId="9" fillId="0" borderId="66" xfId="0" applyFont="1" applyFill="1" applyBorder="1" applyAlignment="1">
      <alignment horizontal="center"/>
    </xf>
    <xf numFmtId="0" fontId="9" fillId="0" borderId="66" xfId="8" applyFont="1" applyBorder="1"/>
    <xf numFmtId="0" fontId="9" fillId="0" borderId="67" xfId="8" applyFont="1" applyBorder="1" applyAlignment="1">
      <alignment horizontal="center" vertical="center"/>
    </xf>
    <xf numFmtId="0" fontId="9" fillId="0" borderId="64" xfId="8" applyFont="1" applyBorder="1" applyAlignment="1">
      <alignment horizontal="left"/>
    </xf>
    <xf numFmtId="2" fontId="9" fillId="0" borderId="64" xfId="8" applyNumberFormat="1" applyFont="1" applyFill="1" applyBorder="1" applyAlignment="1">
      <alignment horizontal="center"/>
    </xf>
    <xf numFmtId="2" fontId="9" fillId="0" borderId="66" xfId="8" applyNumberFormat="1" applyFont="1" applyFill="1" applyBorder="1" applyAlignment="1">
      <alignment horizontal="center"/>
    </xf>
    <xf numFmtId="2" fontId="9" fillId="0" borderId="64" xfId="8" applyNumberFormat="1" applyFont="1" applyBorder="1" applyAlignment="1">
      <alignment horizontal="center"/>
    </xf>
    <xf numFmtId="2" fontId="9" fillId="0" borderId="65" xfId="8" applyNumberFormat="1" applyFont="1" applyBorder="1" applyAlignment="1">
      <alignment horizontal="center"/>
    </xf>
    <xf numFmtId="2" fontId="9" fillId="0" borderId="68" xfId="8" applyNumberFormat="1" applyFont="1" applyFill="1" applyBorder="1" applyAlignment="1">
      <alignment horizontal="center"/>
    </xf>
    <xf numFmtId="0" fontId="9" fillId="0" borderId="64" xfId="8" applyFont="1" applyBorder="1"/>
    <xf numFmtId="9" fontId="9" fillId="0" borderId="64" xfId="4" applyFont="1" applyFill="1" applyBorder="1" applyAlignment="1">
      <alignment horizontal="center"/>
    </xf>
    <xf numFmtId="9" fontId="9" fillId="0" borderId="66" xfId="4" applyFont="1" applyFill="1" applyBorder="1" applyAlignment="1">
      <alignment horizontal="center"/>
    </xf>
    <xf numFmtId="9" fontId="9" fillId="0" borderId="65" xfId="4" applyFont="1" applyFill="1" applyBorder="1" applyAlignment="1">
      <alignment horizontal="center"/>
    </xf>
    <xf numFmtId="9" fontId="9" fillId="0" borderId="68" xfId="4" applyFont="1" applyFill="1" applyBorder="1" applyAlignment="1">
      <alignment horizontal="center"/>
    </xf>
    <xf numFmtId="0" fontId="12" fillId="0" borderId="66" xfId="8" applyFont="1" applyBorder="1"/>
    <xf numFmtId="9" fontId="9" fillId="0" borderId="67" xfId="4" applyFont="1" applyFill="1" applyBorder="1" applyAlignment="1">
      <alignment horizontal="center"/>
    </xf>
    <xf numFmtId="9" fontId="9" fillId="0" borderId="71" xfId="4" applyFont="1" applyFill="1" applyBorder="1" applyAlignment="1">
      <alignment horizontal="center"/>
    </xf>
    <xf numFmtId="0" fontId="9" fillId="0" borderId="64" xfId="8" applyFont="1" applyFill="1" applyBorder="1"/>
    <xf numFmtId="1" fontId="9" fillId="0" borderId="64" xfId="1" applyNumberFormat="1" applyFont="1" applyFill="1" applyBorder="1" applyAlignment="1">
      <alignment horizontal="center"/>
    </xf>
    <xf numFmtId="1" fontId="9" fillId="0" borderId="66" xfId="1" applyNumberFormat="1" applyFont="1" applyFill="1" applyBorder="1" applyAlignment="1">
      <alignment horizontal="center"/>
    </xf>
    <xf numFmtId="1" fontId="9" fillId="0" borderId="65" xfId="1" applyNumberFormat="1" applyFont="1" applyFill="1" applyBorder="1" applyAlignment="1">
      <alignment horizontal="center"/>
    </xf>
    <xf numFmtId="1" fontId="9" fillId="0" borderId="68" xfId="1" applyNumberFormat="1" applyFont="1" applyFill="1" applyBorder="1" applyAlignment="1">
      <alignment horizontal="center"/>
    </xf>
    <xf numFmtId="165" fontId="9" fillId="0" borderId="64" xfId="1" applyNumberFormat="1" applyFont="1" applyFill="1" applyBorder="1" applyAlignment="1">
      <alignment horizontal="center"/>
    </xf>
    <xf numFmtId="165" fontId="9" fillId="0" borderId="66" xfId="1" applyNumberFormat="1" applyFont="1" applyFill="1" applyBorder="1" applyAlignment="1">
      <alignment horizontal="center"/>
    </xf>
    <xf numFmtId="165" fontId="9" fillId="0" borderId="65" xfId="1" applyNumberFormat="1" applyFont="1" applyFill="1" applyBorder="1" applyAlignment="1">
      <alignment horizontal="center"/>
    </xf>
    <xf numFmtId="165" fontId="9" fillId="0" borderId="68" xfId="1" applyNumberFormat="1" applyFont="1" applyFill="1" applyBorder="1" applyAlignment="1">
      <alignment horizontal="center"/>
    </xf>
    <xf numFmtId="165" fontId="9" fillId="3" borderId="64" xfId="9" applyNumberFormat="1" applyFont="1" applyFill="1" applyBorder="1" applyAlignment="1">
      <alignment horizontal="center"/>
    </xf>
    <xf numFmtId="165" fontId="9" fillId="3" borderId="66" xfId="9" applyNumberFormat="1" applyFont="1" applyFill="1" applyBorder="1" applyAlignment="1">
      <alignment horizontal="center"/>
    </xf>
    <xf numFmtId="165" fontId="9" fillId="3" borderId="65" xfId="9" applyNumberFormat="1" applyFont="1" applyFill="1" applyBorder="1" applyAlignment="1">
      <alignment horizontal="center"/>
    </xf>
    <xf numFmtId="165" fontId="9" fillId="3" borderId="68" xfId="9" applyNumberFormat="1" applyFont="1" applyFill="1" applyBorder="1" applyAlignment="1">
      <alignment horizontal="center"/>
    </xf>
    <xf numFmtId="0" fontId="10" fillId="0" borderId="66" xfId="8" applyFont="1" applyFill="1" applyBorder="1"/>
    <xf numFmtId="164" fontId="11" fillId="0" borderId="66" xfId="8" applyNumberFormat="1" applyFont="1" applyFill="1" applyBorder="1" applyAlignment="1">
      <alignment horizontal="center"/>
    </xf>
    <xf numFmtId="164" fontId="11" fillId="0" borderId="67" xfId="8" applyNumberFormat="1" applyFont="1" applyFill="1" applyBorder="1" applyAlignment="1">
      <alignment horizontal="center"/>
    </xf>
    <xf numFmtId="0" fontId="9" fillId="0" borderId="68" xfId="8" applyFont="1" applyFill="1" applyBorder="1"/>
    <xf numFmtId="9" fontId="9" fillId="0" borderId="64" xfId="4" applyNumberFormat="1" applyFont="1" applyBorder="1" applyAlignment="1">
      <alignment horizontal="center"/>
    </xf>
    <xf numFmtId="9" fontId="9" fillId="0" borderId="66" xfId="4" applyNumberFormat="1" applyFont="1" applyBorder="1" applyAlignment="1">
      <alignment horizontal="center"/>
    </xf>
    <xf numFmtId="9" fontId="9" fillId="0" borderId="68" xfId="4" applyFont="1" applyBorder="1" applyAlignment="1">
      <alignment horizontal="center"/>
    </xf>
    <xf numFmtId="9" fontId="9" fillId="0" borderId="64" xfId="4" applyFont="1" applyBorder="1" applyAlignment="1">
      <alignment horizontal="center"/>
    </xf>
    <xf numFmtId="0" fontId="9" fillId="0" borderId="64" xfId="0" applyFont="1" applyFill="1" applyBorder="1"/>
    <xf numFmtId="2" fontId="9" fillId="0" borderId="64" xfId="0" applyNumberFormat="1" applyFont="1" applyFill="1" applyBorder="1" applyAlignment="1">
      <alignment horizontal="center"/>
    </xf>
    <xf numFmtId="2" fontId="9" fillId="0" borderId="66" xfId="0" applyNumberFormat="1" applyFont="1" applyFill="1" applyBorder="1" applyAlignment="1">
      <alignment horizontal="center"/>
    </xf>
    <xf numFmtId="2" fontId="9" fillId="0" borderId="65" xfId="0" applyNumberFormat="1" applyFont="1" applyFill="1" applyBorder="1" applyAlignment="1">
      <alignment horizontal="center"/>
    </xf>
    <xf numFmtId="0" fontId="9" fillId="0" borderId="66" xfId="0" applyFont="1" applyFill="1" applyBorder="1"/>
    <xf numFmtId="2" fontId="9" fillId="0" borderId="64" xfId="0" applyNumberFormat="1" applyFont="1" applyBorder="1" applyAlignment="1">
      <alignment horizontal="center"/>
    </xf>
    <xf numFmtId="2" fontId="9" fillId="0" borderId="68" xfId="0" applyNumberFormat="1" applyFont="1" applyFill="1" applyBorder="1" applyAlignment="1">
      <alignment horizontal="center"/>
    </xf>
    <xf numFmtId="0" fontId="14" fillId="0" borderId="66" xfId="8" applyFont="1" applyFill="1" applyBorder="1"/>
    <xf numFmtId="2" fontId="8" fillId="0" borderId="66" xfId="0" applyNumberFormat="1" applyFont="1" applyFill="1" applyBorder="1" applyAlignment="1">
      <alignment horizontal="center"/>
    </xf>
    <xf numFmtId="2" fontId="8" fillId="0" borderId="67" xfId="0" applyNumberFormat="1" applyFont="1" applyFill="1" applyBorder="1" applyAlignment="1">
      <alignment horizontal="center"/>
    </xf>
    <xf numFmtId="0" fontId="9" fillId="0" borderId="64" xfId="0" applyFont="1" applyBorder="1"/>
    <xf numFmtId="2" fontId="9" fillId="0" borderId="64" xfId="0" applyNumberFormat="1" applyFont="1" applyBorder="1" applyAlignment="1">
      <alignment horizontal="center" vertical="center"/>
    </xf>
    <xf numFmtId="2" fontId="9" fillId="0" borderId="65" xfId="0" applyNumberFormat="1" applyFont="1" applyBorder="1" applyAlignment="1">
      <alignment horizontal="center" vertical="center"/>
    </xf>
    <xf numFmtId="2" fontId="9" fillId="0" borderId="68" xfId="0" applyNumberFormat="1" applyFont="1" applyBorder="1" applyAlignment="1">
      <alignment horizontal="center" vertical="center"/>
    </xf>
    <xf numFmtId="0" fontId="9" fillId="0" borderId="64" xfId="0" applyFont="1" applyBorder="1" applyAlignment="1">
      <alignment horizontal="left"/>
    </xf>
    <xf numFmtId="0" fontId="9" fillId="3" borderId="64" xfId="0" applyFont="1" applyFill="1" applyBorder="1"/>
    <xf numFmtId="0" fontId="17" fillId="0" borderId="64" xfId="8" applyFont="1" applyBorder="1"/>
    <xf numFmtId="2" fontId="9" fillId="0" borderId="67" xfId="0" applyNumberFormat="1" applyFont="1" applyFill="1" applyBorder="1" applyAlignment="1">
      <alignment horizontal="center"/>
    </xf>
    <xf numFmtId="2" fontId="9" fillId="0" borderId="68" xfId="8" applyNumberFormat="1" applyFont="1" applyFill="1" applyBorder="1" applyAlignment="1">
      <alignment horizontal="center" vertical="center"/>
    </xf>
    <xf numFmtId="2" fontId="12" fillId="0" borderId="64" xfId="0" applyNumberFormat="1" applyFont="1" applyFill="1" applyBorder="1" applyAlignment="1">
      <alignment horizontal="center"/>
    </xf>
    <xf numFmtId="2" fontId="12" fillId="0" borderId="65" xfId="0" applyNumberFormat="1" applyFont="1" applyFill="1" applyBorder="1" applyAlignment="1">
      <alignment horizontal="center"/>
    </xf>
    <xf numFmtId="0" fontId="13" fillId="0" borderId="66" xfId="8" applyFont="1" applyBorder="1" applyAlignment="1">
      <alignment horizontal="center"/>
    </xf>
    <xf numFmtId="0" fontId="13" fillId="0" borderId="67" xfId="8" applyFont="1" applyBorder="1" applyAlignment="1">
      <alignment horizontal="center"/>
    </xf>
    <xf numFmtId="0" fontId="9" fillId="0" borderId="67" xfId="8" applyFont="1" applyFill="1" applyBorder="1"/>
    <xf numFmtId="0" fontId="9" fillId="0" borderId="71" xfId="8" applyFont="1" applyFill="1" applyBorder="1"/>
    <xf numFmtId="1" fontId="13" fillId="0" borderId="68" xfId="8" applyNumberFormat="1" applyFont="1" applyFill="1" applyBorder="1" applyAlignment="1">
      <alignment horizontal="center"/>
    </xf>
    <xf numFmtId="0" fontId="9" fillId="5" borderId="64" xfId="8" applyFont="1" applyFill="1" applyBorder="1"/>
    <xf numFmtId="0" fontId="13" fillId="5" borderId="64" xfId="8" applyFont="1" applyFill="1" applyBorder="1" applyAlignment="1">
      <alignment horizontal="center"/>
    </xf>
    <xf numFmtId="0" fontId="13" fillId="5" borderId="66" xfId="8" applyFont="1" applyFill="1" applyBorder="1" applyAlignment="1">
      <alignment horizontal="center"/>
    </xf>
    <xf numFmtId="0" fontId="13" fillId="5" borderId="65" xfId="8" applyFont="1" applyFill="1" applyBorder="1" applyAlignment="1">
      <alignment horizontal="center"/>
    </xf>
    <xf numFmtId="0" fontId="13" fillId="5" borderId="68" xfId="8" applyFont="1" applyFill="1" applyBorder="1" applyAlignment="1">
      <alignment horizontal="center"/>
    </xf>
    <xf numFmtId="1" fontId="13" fillId="0" borderId="64" xfId="7" applyNumberFormat="1" applyFont="1" applyFill="1" applyBorder="1" applyAlignment="1">
      <alignment horizontal="center"/>
    </xf>
    <xf numFmtId="1" fontId="13" fillId="0" borderId="66" xfId="7" applyNumberFormat="1" applyFont="1" applyFill="1" applyBorder="1" applyAlignment="1">
      <alignment horizontal="center"/>
    </xf>
    <xf numFmtId="1" fontId="13" fillId="0" borderId="65" xfId="7" applyNumberFormat="1" applyFont="1" applyFill="1" applyBorder="1" applyAlignment="1">
      <alignment horizontal="center"/>
    </xf>
    <xf numFmtId="0" fontId="13" fillId="0" borderId="68" xfId="8" applyFont="1" applyFill="1" applyBorder="1" applyAlignment="1">
      <alignment horizontal="center"/>
    </xf>
    <xf numFmtId="0" fontId="10" fillId="0" borderId="66" xfId="66" applyFont="1" applyFill="1" applyBorder="1"/>
    <xf numFmtId="0" fontId="8" fillId="0" borderId="66" xfId="71" applyFont="1" applyFill="1" applyBorder="1"/>
    <xf numFmtId="0" fontId="15" fillId="0" borderId="67" xfId="71" applyFont="1" applyFill="1" applyBorder="1" applyAlignment="1">
      <alignment horizontal="center"/>
    </xf>
    <xf numFmtId="0" fontId="15" fillId="0" borderId="67" xfId="71" applyNumberFormat="1" applyFont="1" applyFill="1" applyBorder="1" applyAlignment="1">
      <alignment horizontal="center"/>
    </xf>
    <xf numFmtId="0" fontId="8" fillId="0" borderId="67" xfId="71" applyNumberFormat="1" applyFont="1" applyFill="1" applyBorder="1"/>
    <xf numFmtId="0" fontId="8" fillId="0" borderId="67" xfId="71" applyFont="1" applyFill="1" applyBorder="1"/>
    <xf numFmtId="1" fontId="9" fillId="0" borderId="67" xfId="7" applyNumberFormat="1" applyFont="1" applyFill="1" applyBorder="1" applyAlignment="1">
      <alignment horizontal="right"/>
    </xf>
    <xf numFmtId="0" fontId="9" fillId="0" borderId="67" xfId="7" applyFont="1" applyFill="1" applyBorder="1"/>
    <xf numFmtId="0" fontId="9" fillId="0" borderId="71" xfId="7" applyFont="1" applyFill="1" applyBorder="1"/>
    <xf numFmtId="9" fontId="9" fillId="0" borderId="64" xfId="8" applyNumberFormat="1" applyFont="1" applyBorder="1"/>
    <xf numFmtId="9" fontId="9" fillId="0" borderId="65" xfId="8" applyNumberFormat="1" applyFont="1" applyBorder="1"/>
    <xf numFmtId="2" fontId="9" fillId="6" borderId="64" xfId="8" applyNumberFormat="1" applyFont="1" applyFill="1" applyBorder="1" applyAlignment="1">
      <alignment horizontal="center"/>
    </xf>
    <xf numFmtId="2" fontId="9" fillId="6" borderId="65" xfId="8" applyNumberFormat="1" applyFont="1" applyFill="1" applyBorder="1" applyAlignment="1">
      <alignment horizontal="center"/>
    </xf>
    <xf numFmtId="2" fontId="12" fillId="6" borderId="64" xfId="8" applyNumberFormat="1" applyFont="1" applyFill="1" applyBorder="1" applyAlignment="1">
      <alignment horizontal="center"/>
    </xf>
    <xf numFmtId="2" fontId="12" fillId="6" borderId="65" xfId="8" applyNumberFormat="1" applyFont="1" applyFill="1" applyBorder="1" applyAlignment="1">
      <alignment horizontal="center"/>
    </xf>
    <xf numFmtId="0" fontId="13" fillId="6" borderId="65" xfId="8" applyFont="1" applyFill="1" applyBorder="1" applyAlignment="1">
      <alignment horizontal="center"/>
    </xf>
    <xf numFmtId="1" fontId="13" fillId="6" borderId="65" xfId="8" applyNumberFormat="1" applyFont="1" applyFill="1" applyBorder="1" applyAlignment="1">
      <alignment horizontal="center"/>
    </xf>
    <xf numFmtId="0" fontId="9" fillId="6" borderId="65" xfId="8" applyFont="1" applyFill="1" applyBorder="1" applyAlignment="1">
      <alignment horizontal="center" vertical="center"/>
    </xf>
    <xf numFmtId="0" fontId="9" fillId="6" borderId="65" xfId="8" applyFont="1" applyFill="1" applyBorder="1" applyAlignment="1">
      <alignment horizontal="center"/>
    </xf>
    <xf numFmtId="2" fontId="9" fillId="11" borderId="64" xfId="8" applyNumberFormat="1" applyFont="1" applyFill="1" applyBorder="1" applyAlignment="1">
      <alignment horizontal="center"/>
    </xf>
    <xf numFmtId="2" fontId="9" fillId="12" borderId="64" xfId="8" applyNumberFormat="1" applyFont="1" applyFill="1" applyBorder="1" applyAlignment="1">
      <alignment horizontal="center"/>
    </xf>
    <xf numFmtId="2" fontId="9" fillId="13" borderId="64" xfId="8" applyNumberFormat="1" applyFont="1" applyFill="1" applyBorder="1" applyAlignment="1">
      <alignment horizontal="center"/>
    </xf>
    <xf numFmtId="2" fontId="9" fillId="13" borderId="71" xfId="8" applyNumberFormat="1" applyFont="1" applyFill="1" applyBorder="1" applyAlignment="1">
      <alignment horizontal="center"/>
    </xf>
    <xf numFmtId="2" fontId="9" fillId="11" borderId="69" xfId="8" applyNumberFormat="1" applyFont="1" applyFill="1" applyBorder="1" applyAlignment="1">
      <alignment horizontal="center"/>
    </xf>
    <xf numFmtId="2" fontId="9" fillId="12" borderId="69" xfId="8" applyNumberFormat="1" applyFont="1" applyFill="1" applyBorder="1" applyAlignment="1">
      <alignment horizontal="center"/>
    </xf>
    <xf numFmtId="2" fontId="9" fillId="13" borderId="69" xfId="8" applyNumberFormat="1" applyFont="1" applyFill="1" applyBorder="1" applyAlignment="1">
      <alignment horizontal="center"/>
    </xf>
    <xf numFmtId="2" fontId="9" fillId="13" borderId="72" xfId="8" applyNumberFormat="1" applyFont="1" applyFill="1" applyBorder="1" applyAlignment="1">
      <alignment horizontal="center"/>
    </xf>
    <xf numFmtId="2" fontId="9" fillId="0" borderId="67" xfId="8" applyNumberFormat="1" applyFont="1" applyBorder="1" applyAlignment="1">
      <alignment horizontal="center"/>
    </xf>
    <xf numFmtId="0" fontId="9" fillId="0" borderId="71" xfId="8" applyFont="1" applyBorder="1"/>
    <xf numFmtId="0" fontId="61" fillId="0" borderId="64" xfId="10" applyFont="1" applyBorder="1"/>
    <xf numFmtId="9" fontId="9" fillId="0" borderId="64" xfId="4" applyFont="1" applyBorder="1"/>
    <xf numFmtId="0" fontId="9" fillId="0" borderId="64" xfId="7" applyFont="1" applyFill="1" applyBorder="1" applyAlignment="1">
      <alignment horizontal="center" textRotation="90"/>
    </xf>
    <xf numFmtId="0" fontId="9" fillId="0" borderId="66" xfId="7" applyFont="1" applyFill="1" applyBorder="1" applyAlignment="1">
      <alignment horizontal="center" textRotation="90"/>
    </xf>
    <xf numFmtId="0" fontId="9" fillId="3" borderId="64" xfId="8" applyFont="1" applyFill="1" applyBorder="1" applyAlignment="1">
      <alignment horizontal="center" textRotation="90" wrapText="1"/>
    </xf>
    <xf numFmtId="0" fontId="9" fillId="0" borderId="64" xfId="16" applyFont="1" applyBorder="1" applyAlignment="1">
      <alignment horizontal="center"/>
    </xf>
    <xf numFmtId="0" fontId="9" fillId="0" borderId="66" xfId="16" applyFont="1" applyBorder="1" applyAlignment="1">
      <alignment horizontal="center"/>
    </xf>
    <xf numFmtId="0" fontId="9" fillId="0" borderId="64" xfId="8" applyFont="1" applyBorder="1" applyAlignment="1">
      <alignment horizontal="center"/>
    </xf>
    <xf numFmtId="0" fontId="9" fillId="0" borderId="64" xfId="7" applyFont="1" applyFill="1" applyBorder="1" applyAlignment="1">
      <alignment horizontal="center"/>
    </xf>
    <xf numFmtId="0" fontId="9" fillId="0" borderId="66" xfId="7" applyFont="1" applyFill="1" applyBorder="1" applyAlignment="1">
      <alignment horizontal="center"/>
    </xf>
    <xf numFmtId="0" fontId="8" fillId="0" borderId="69" xfId="7" applyFont="1" applyBorder="1" applyAlignment="1">
      <alignment horizontal="center"/>
    </xf>
    <xf numFmtId="0" fontId="8" fillId="0" borderId="69" xfId="8" applyFont="1" applyBorder="1" applyAlignment="1">
      <alignment horizontal="center"/>
    </xf>
    <xf numFmtId="9" fontId="9" fillId="0" borderId="69" xfId="4" applyFont="1" applyFill="1" applyBorder="1" applyAlignment="1">
      <alignment horizontal="center"/>
    </xf>
    <xf numFmtId="9" fontId="9" fillId="0" borderId="70" xfId="4" applyFont="1" applyFill="1" applyBorder="1" applyAlignment="1">
      <alignment horizontal="center"/>
    </xf>
    <xf numFmtId="165" fontId="9" fillId="0" borderId="69" xfId="13" applyNumberFormat="1" applyFont="1" applyFill="1" applyBorder="1" applyAlignment="1">
      <alignment horizontal="center"/>
    </xf>
    <xf numFmtId="165" fontId="9" fillId="0" borderId="70" xfId="13" applyNumberFormat="1" applyFont="1" applyFill="1" applyBorder="1" applyAlignment="1">
      <alignment horizontal="center"/>
    </xf>
    <xf numFmtId="0" fontId="9" fillId="0" borderId="64" xfId="7" applyFont="1" applyFill="1" applyBorder="1"/>
    <xf numFmtId="2" fontId="9" fillId="0" borderId="64" xfId="7" applyNumberFormat="1" applyFont="1" applyFill="1" applyBorder="1" applyAlignment="1">
      <alignment horizontal="center"/>
    </xf>
    <xf numFmtId="2" fontId="9" fillId="0" borderId="66" xfId="7" applyNumberFormat="1" applyFont="1" applyFill="1" applyBorder="1" applyAlignment="1">
      <alignment horizontal="center"/>
    </xf>
    <xf numFmtId="2" fontId="9" fillId="0" borderId="69" xfId="7" applyNumberFormat="1" applyFont="1" applyFill="1" applyBorder="1" applyAlignment="1">
      <alignment horizontal="center"/>
    </xf>
    <xf numFmtId="2" fontId="9" fillId="0" borderId="70" xfId="7" applyNumberFormat="1" applyFont="1" applyFill="1" applyBorder="1" applyAlignment="1">
      <alignment horizontal="center"/>
    </xf>
    <xf numFmtId="2" fontId="8" fillId="0" borderId="68" xfId="0" applyNumberFormat="1" applyFont="1" applyFill="1" applyBorder="1" applyAlignment="1">
      <alignment horizontal="center"/>
    </xf>
    <xf numFmtId="2" fontId="9" fillId="0" borderId="67" xfId="7" applyNumberFormat="1" applyFont="1" applyFill="1" applyBorder="1" applyAlignment="1">
      <alignment horizontal="center"/>
    </xf>
    <xf numFmtId="2" fontId="9" fillId="0" borderId="64" xfId="8" applyNumberFormat="1" applyFont="1" applyFill="1" applyBorder="1" applyAlignment="1">
      <alignment horizontal="center" vertical="center"/>
    </xf>
    <xf numFmtId="2" fontId="12" fillId="0" borderId="64" xfId="7" applyNumberFormat="1" applyFont="1" applyFill="1" applyBorder="1" applyAlignment="1">
      <alignment horizontal="center"/>
    </xf>
    <xf numFmtId="1" fontId="13" fillId="0" borderId="64" xfId="8" applyNumberFormat="1" applyFont="1" applyFill="1" applyBorder="1" applyAlignment="1">
      <alignment horizontal="center"/>
    </xf>
    <xf numFmtId="0" fontId="13" fillId="0" borderId="64" xfId="8" applyFont="1" applyFill="1" applyBorder="1" applyAlignment="1">
      <alignment horizontal="center"/>
    </xf>
    <xf numFmtId="0" fontId="15" fillId="0" borderId="66" xfId="71" applyNumberFormat="1" applyFont="1" applyFill="1" applyBorder="1" applyAlignment="1">
      <alignment horizontal="center"/>
    </xf>
    <xf numFmtId="9" fontId="9" fillId="0" borderId="66" xfId="8" applyNumberFormat="1" applyFont="1" applyBorder="1"/>
    <xf numFmtId="2" fontId="9" fillId="6" borderId="66" xfId="8" applyNumberFormat="1" applyFont="1" applyFill="1" applyBorder="1" applyAlignment="1">
      <alignment horizontal="center"/>
    </xf>
    <xf numFmtId="2" fontId="12" fillId="6" borderId="66" xfId="8" applyNumberFormat="1" applyFont="1" applyFill="1" applyBorder="1" applyAlignment="1">
      <alignment horizontal="center"/>
    </xf>
    <xf numFmtId="0" fontId="9" fillId="0" borderId="64" xfId="5" applyFont="1" applyFill="1" applyBorder="1" applyAlignment="1">
      <alignment horizontal="center" textRotation="90"/>
    </xf>
    <xf numFmtId="0" fontId="9" fillId="0" borderId="66" xfId="5" applyFont="1" applyFill="1" applyBorder="1" applyAlignment="1">
      <alignment horizontal="center" textRotation="90"/>
    </xf>
    <xf numFmtId="0" fontId="9" fillId="0" borderId="69" xfId="7" applyFont="1" applyFill="1" applyBorder="1" applyAlignment="1">
      <alignment horizontal="center"/>
    </xf>
    <xf numFmtId="0" fontId="9" fillId="0" borderId="70" xfId="7" applyFont="1" applyFill="1" applyBorder="1" applyAlignment="1">
      <alignment horizontal="center"/>
    </xf>
    <xf numFmtId="0" fontId="9" fillId="0" borderId="75" xfId="7" applyFont="1" applyFill="1" applyBorder="1" applyAlignment="1">
      <alignment horizontal="center"/>
    </xf>
    <xf numFmtId="0" fontId="9" fillId="0" borderId="65" xfId="7" applyFont="1" applyFill="1" applyBorder="1" applyAlignment="1">
      <alignment horizontal="center"/>
    </xf>
    <xf numFmtId="0" fontId="9" fillId="0" borderId="76" xfId="7" applyFont="1" applyFill="1" applyBorder="1" applyAlignment="1">
      <alignment horizontal="center"/>
    </xf>
    <xf numFmtId="0" fontId="9" fillId="0" borderId="77" xfId="7" applyFont="1" applyFill="1" applyBorder="1" applyAlignment="1">
      <alignment horizontal="center"/>
    </xf>
    <xf numFmtId="0" fontId="9" fillId="0" borderId="66" xfId="7" applyFont="1" applyFill="1" applyBorder="1" applyAlignment="1">
      <alignment vertical="center"/>
    </xf>
    <xf numFmtId="0" fontId="9" fillId="0" borderId="67" xfId="7" applyFont="1" applyFill="1" applyBorder="1" applyAlignment="1">
      <alignment vertical="center"/>
    </xf>
    <xf numFmtId="0" fontId="9" fillId="0" borderId="67" xfId="7" applyFont="1" applyFill="1" applyBorder="1" applyAlignment="1"/>
    <xf numFmtId="0" fontId="9" fillId="0" borderId="71" xfId="7" applyFont="1" applyFill="1" applyBorder="1" applyAlignment="1"/>
    <xf numFmtId="0" fontId="9" fillId="0" borderId="67" xfId="7" applyFont="1" applyFill="1" applyBorder="1" applyAlignment="1">
      <alignment horizontal="center" vertical="center"/>
    </xf>
    <xf numFmtId="0" fontId="9" fillId="0" borderId="71" xfId="7" applyFont="1" applyFill="1" applyBorder="1" applyAlignment="1">
      <alignment horizontal="center" vertical="center"/>
    </xf>
    <xf numFmtId="0" fontId="9" fillId="0" borderId="68" xfId="7" applyFont="1" applyFill="1" applyBorder="1" applyAlignment="1">
      <alignment horizontal="center"/>
    </xf>
    <xf numFmtId="2" fontId="9" fillId="0" borderId="65" xfId="7" applyNumberFormat="1" applyFont="1" applyFill="1" applyBorder="1" applyAlignment="1">
      <alignment horizontal="center"/>
    </xf>
    <xf numFmtId="2" fontId="9" fillId="0" borderId="68" xfId="7" applyNumberFormat="1" applyFont="1" applyFill="1" applyBorder="1" applyAlignment="1">
      <alignment horizontal="center"/>
    </xf>
    <xf numFmtId="9" fontId="9" fillId="0" borderId="64" xfId="11" applyFont="1" applyFill="1" applyBorder="1" applyAlignment="1">
      <alignment horizontal="center"/>
    </xf>
    <xf numFmtId="9" fontId="9" fillId="0" borderId="66" xfId="11" applyFont="1" applyFill="1" applyBorder="1" applyAlignment="1">
      <alignment horizontal="center"/>
    </xf>
    <xf numFmtId="9" fontId="9" fillId="0" borderId="65" xfId="11" applyFont="1" applyFill="1" applyBorder="1" applyAlignment="1">
      <alignment horizontal="center"/>
    </xf>
    <xf numFmtId="9" fontId="9" fillId="0" borderId="68" xfId="7" applyNumberFormat="1" applyFont="1" applyBorder="1" applyAlignment="1">
      <alignment horizontal="center"/>
    </xf>
    <xf numFmtId="9" fontId="9" fillId="0" borderId="67" xfId="11" applyFont="1" applyFill="1" applyBorder="1" applyAlignment="1">
      <alignment horizontal="center"/>
    </xf>
    <xf numFmtId="9" fontId="9" fillId="0" borderId="71" xfId="11" applyFont="1" applyFill="1" applyBorder="1" applyAlignment="1">
      <alignment horizontal="center"/>
    </xf>
    <xf numFmtId="165" fontId="9" fillId="0" borderId="64" xfId="13" applyNumberFormat="1" applyFont="1" applyFill="1" applyBorder="1" applyAlignment="1">
      <alignment horizontal="center"/>
    </xf>
    <xf numFmtId="165" fontId="9" fillId="0" borderId="66" xfId="13" applyNumberFormat="1" applyFont="1" applyFill="1" applyBorder="1" applyAlignment="1">
      <alignment horizontal="center"/>
    </xf>
    <xf numFmtId="165" fontId="9" fillId="0" borderId="67" xfId="13" applyNumberFormat="1" applyFont="1" applyFill="1" applyBorder="1" applyAlignment="1">
      <alignment horizontal="center"/>
    </xf>
    <xf numFmtId="165" fontId="9" fillId="0" borderId="65" xfId="13" applyNumberFormat="1" applyFont="1" applyFill="1" applyBorder="1" applyAlignment="1">
      <alignment horizontal="center"/>
    </xf>
    <xf numFmtId="164" fontId="11" fillId="0" borderId="71" xfId="8" applyNumberFormat="1" applyFont="1" applyFill="1" applyBorder="1" applyAlignment="1">
      <alignment horizontal="center"/>
    </xf>
    <xf numFmtId="2" fontId="8" fillId="0" borderId="71" xfId="0" applyNumberFormat="1" applyFont="1" applyFill="1" applyBorder="1" applyAlignment="1">
      <alignment horizontal="center"/>
    </xf>
    <xf numFmtId="2" fontId="9" fillId="0" borderId="71" xfId="7" applyNumberFormat="1" applyFont="1" applyFill="1" applyBorder="1" applyAlignment="1">
      <alignment horizontal="center"/>
    </xf>
    <xf numFmtId="164" fontId="9" fillId="0" borderId="67" xfId="7" applyNumberFormat="1" applyFont="1" applyFill="1" applyBorder="1" applyAlignment="1">
      <alignment horizontal="center"/>
    </xf>
    <xf numFmtId="164" fontId="12" fillId="0" borderId="67" xfId="7" applyNumberFormat="1" applyFont="1" applyFill="1" applyBorder="1" applyAlignment="1">
      <alignment horizontal="center"/>
    </xf>
    <xf numFmtId="164" fontId="9" fillId="0" borderId="71" xfId="7" applyNumberFormat="1" applyFont="1" applyFill="1" applyBorder="1" applyAlignment="1">
      <alignment horizontal="center"/>
    </xf>
    <xf numFmtId="164" fontId="9" fillId="0" borderId="68" xfId="7" applyNumberFormat="1" applyFont="1" applyFill="1" applyBorder="1" applyAlignment="1">
      <alignment horizontal="center"/>
    </xf>
    <xf numFmtId="1" fontId="13" fillId="0" borderId="65" xfId="8" applyNumberFormat="1" applyFont="1" applyBorder="1" applyAlignment="1">
      <alignment horizontal="center"/>
    </xf>
    <xf numFmtId="1" fontId="13" fillId="0" borderId="68" xfId="7" applyNumberFormat="1" applyFont="1" applyFill="1" applyBorder="1" applyAlignment="1">
      <alignment horizontal="center"/>
    </xf>
    <xf numFmtId="2" fontId="9" fillId="6" borderId="71" xfId="8" applyNumberFormat="1" applyFont="1" applyFill="1" applyBorder="1" applyAlignment="1">
      <alignment horizontal="center"/>
    </xf>
    <xf numFmtId="2" fontId="12" fillId="8" borderId="71" xfId="8" applyNumberFormat="1" applyFont="1" applyFill="1" applyBorder="1" applyAlignment="1">
      <alignment horizontal="center"/>
    </xf>
    <xf numFmtId="165" fontId="9" fillId="0" borderId="67" xfId="1" applyNumberFormat="1" applyFont="1" applyFill="1" applyBorder="1" applyAlignment="1">
      <alignment horizontal="center"/>
    </xf>
    <xf numFmtId="165" fontId="9" fillId="0" borderId="71" xfId="1" applyNumberFormat="1" applyFont="1" applyFill="1" applyBorder="1" applyAlignment="1">
      <alignment horizontal="center"/>
    </xf>
    <xf numFmtId="164" fontId="11" fillId="0" borderId="64" xfId="8" applyNumberFormat="1" applyFont="1" applyFill="1" applyBorder="1" applyAlignment="1">
      <alignment horizontal="center"/>
    </xf>
    <xf numFmtId="164" fontId="11" fillId="0" borderId="65" xfId="8" applyNumberFormat="1" applyFont="1" applyFill="1" applyBorder="1" applyAlignment="1">
      <alignment horizontal="center"/>
    </xf>
    <xf numFmtId="2" fontId="12" fillId="0" borderId="65" xfId="7" applyNumberFormat="1" applyFont="1" applyFill="1" applyBorder="1" applyAlignment="1">
      <alignment horizontal="center"/>
    </xf>
    <xf numFmtId="164" fontId="9" fillId="0" borderId="64" xfId="7" applyNumberFormat="1" applyFont="1" applyFill="1" applyBorder="1" applyAlignment="1">
      <alignment horizontal="center"/>
    </xf>
    <xf numFmtId="164" fontId="12" fillId="0" borderId="64" xfId="7" applyNumberFormat="1" applyFont="1" applyFill="1" applyBorder="1" applyAlignment="1">
      <alignment horizontal="center"/>
    </xf>
    <xf numFmtId="164" fontId="9" fillId="0" borderId="65" xfId="7" applyNumberFormat="1" applyFont="1" applyFill="1" applyBorder="1" applyAlignment="1">
      <alignment horizontal="center"/>
    </xf>
    <xf numFmtId="164" fontId="8" fillId="3" borderId="66" xfId="5" applyNumberFormat="1" applyFont="1" applyFill="1" applyBorder="1"/>
    <xf numFmtId="164" fontId="8" fillId="3" borderId="67" xfId="5" applyNumberFormat="1" applyFont="1" applyFill="1" applyBorder="1"/>
    <xf numFmtId="0" fontId="8" fillId="0" borderId="68" xfId="5" applyFont="1" applyBorder="1"/>
    <xf numFmtId="9" fontId="8" fillId="3" borderId="64" xfId="8" applyNumberFormat="1" applyFont="1" applyFill="1" applyBorder="1"/>
    <xf numFmtId="0" fontId="9" fillId="0" borderId="67" xfId="8" applyFont="1" applyBorder="1" applyAlignment="1">
      <alignment horizontal="centerContinuous" vertical="center"/>
    </xf>
    <xf numFmtId="165" fontId="9" fillId="0" borderId="68" xfId="13" applyNumberFormat="1" applyFont="1" applyFill="1" applyBorder="1" applyAlignment="1">
      <alignment horizontal="center"/>
    </xf>
    <xf numFmtId="9" fontId="9" fillId="0" borderId="65" xfId="4" applyNumberFormat="1" applyFont="1" applyBorder="1" applyAlignment="1">
      <alignment horizontal="center"/>
    </xf>
    <xf numFmtId="9" fontId="9" fillId="0" borderId="68" xfId="4" applyNumberFormat="1" applyFont="1" applyBorder="1" applyAlignment="1">
      <alignment horizontal="center"/>
    </xf>
    <xf numFmtId="165" fontId="9" fillId="0" borderId="76" xfId="1" applyNumberFormat="1" applyFont="1" applyFill="1" applyBorder="1" applyAlignment="1">
      <alignment horizontal="center"/>
    </xf>
    <xf numFmtId="0" fontId="9" fillId="3" borderId="64" xfId="8" applyFont="1" applyFill="1" applyBorder="1" applyAlignment="1">
      <alignment horizontal="center"/>
    </xf>
    <xf numFmtId="0" fontId="9" fillId="0" borderId="66" xfId="8" applyFont="1" applyFill="1" applyBorder="1" applyAlignment="1">
      <alignment horizontal="right"/>
    </xf>
    <xf numFmtId="0" fontId="55" fillId="0" borderId="66" xfId="8" applyFont="1" applyFill="1" applyBorder="1"/>
    <xf numFmtId="0" fontId="9" fillId="0" borderId="64" xfId="71" applyFont="1" applyBorder="1" applyAlignment="1">
      <alignment horizontal="center"/>
    </xf>
    <xf numFmtId="2" fontId="8" fillId="0" borderId="64" xfId="19" applyNumberFormat="1" applyFont="1" applyBorder="1" applyAlignment="1">
      <alignment horizontal="center"/>
    </xf>
    <xf numFmtId="0" fontId="9" fillId="0" borderId="66" xfId="8" applyFont="1" applyFill="1" applyBorder="1"/>
    <xf numFmtId="2" fontId="8" fillId="0" borderId="64" xfId="0" applyNumberFormat="1" applyFont="1" applyBorder="1" applyAlignment="1">
      <alignment horizontal="center"/>
    </xf>
    <xf numFmtId="0" fontId="9" fillId="0" borderId="64" xfId="8" applyFont="1" applyBorder="1" applyAlignment="1">
      <alignment horizontal="right"/>
    </xf>
    <xf numFmtId="0" fontId="10" fillId="0" borderId="66" xfId="8" applyFont="1" applyBorder="1"/>
    <xf numFmtId="0" fontId="9" fillId="0" borderId="66" xfId="8" applyFont="1" applyBorder="1" applyAlignment="1">
      <alignment horizontal="right"/>
    </xf>
    <xf numFmtId="0" fontId="9" fillId="0" borderId="64" xfId="10" applyFont="1" applyBorder="1" applyAlignment="1">
      <alignment horizontal="center"/>
    </xf>
    <xf numFmtId="2" fontId="9" fillId="0" borderId="64" xfId="74" applyNumberFormat="1" applyFont="1" applyBorder="1" applyAlignment="1">
      <alignment horizontal="center"/>
    </xf>
    <xf numFmtId="0" fontId="14" fillId="0" borderId="66" xfId="8" applyFont="1" applyBorder="1"/>
    <xf numFmtId="0" fontId="66" fillId="0" borderId="69" xfId="23" applyFont="1" applyBorder="1" applyAlignment="1">
      <alignment horizontal="center" vertical="center" textRotation="180"/>
    </xf>
    <xf numFmtId="0" fontId="66" fillId="6" borderId="69" xfId="23" applyFont="1" applyFill="1" applyBorder="1" applyAlignment="1">
      <alignment horizontal="center" vertical="center" textRotation="180"/>
    </xf>
    <xf numFmtId="0" fontId="67" fillId="0" borderId="64" xfId="75" applyFont="1" applyBorder="1"/>
    <xf numFmtId="0" fontId="67" fillId="0" borderId="64" xfId="23" applyFont="1" applyBorder="1" applyAlignment="1">
      <alignment horizontal="center" vertical="center"/>
    </xf>
    <xf numFmtId="0" fontId="67" fillId="0" borderId="65" xfId="23" applyFont="1" applyBorder="1" applyAlignment="1">
      <alignment horizontal="center" vertical="center"/>
    </xf>
    <xf numFmtId="0" fontId="63" fillId="6" borderId="64" xfId="7" applyFont="1" applyFill="1" applyBorder="1"/>
    <xf numFmtId="0" fontId="17" fillId="0" borderId="66" xfId="8" applyFont="1" applyBorder="1"/>
    <xf numFmtId="9" fontId="0" fillId="0" borderId="64" xfId="0" applyNumberFormat="1" applyBorder="1"/>
    <xf numFmtId="0" fontId="9" fillId="0" borderId="64" xfId="7" applyFont="1" applyBorder="1"/>
    <xf numFmtId="9" fontId="2" fillId="0" borderId="64" xfId="7" applyNumberFormat="1" applyBorder="1"/>
    <xf numFmtId="0" fontId="9" fillId="0" borderId="64" xfId="7" applyFont="1" applyBorder="1" applyAlignment="1">
      <alignment horizontal="left"/>
    </xf>
    <xf numFmtId="0" fontId="9" fillId="3" borderId="64" xfId="7" applyFont="1" applyFill="1" applyBorder="1"/>
    <xf numFmtId="0" fontId="23" fillId="0" borderId="78" xfId="7" applyFont="1" applyFill="1" applyBorder="1" applyAlignment="1"/>
    <xf numFmtId="0" fontId="23" fillId="0" borderId="64" xfId="71" applyFont="1" applyBorder="1" applyAlignment="1">
      <alignment horizontal="center" vertical="center" wrapText="1"/>
    </xf>
    <xf numFmtId="0" fontId="23" fillId="0" borderId="64" xfId="71" applyFont="1" applyBorder="1" applyAlignment="1">
      <alignment vertical="center" wrapText="1"/>
    </xf>
    <xf numFmtId="0" fontId="23" fillId="0" borderId="64" xfId="71" applyFont="1" applyBorder="1"/>
    <xf numFmtId="0" fontId="9" fillId="0" borderId="66" xfId="0" applyFont="1" applyFill="1" applyBorder="1" applyAlignment="1">
      <alignment horizontal="center"/>
    </xf>
    <xf numFmtId="0" fontId="9" fillId="0" borderId="67" xfId="0" applyFont="1" applyFill="1" applyBorder="1" applyAlignment="1">
      <alignment horizontal="center"/>
    </xf>
    <xf numFmtId="0" fontId="14" fillId="4" borderId="13" xfId="8" applyFont="1" applyFill="1" applyBorder="1" applyAlignment="1">
      <alignment horizontal="left"/>
    </xf>
    <xf numFmtId="0" fontId="14" fillId="4" borderId="14" xfId="8" applyFont="1" applyFill="1" applyBorder="1" applyAlignment="1">
      <alignment horizontal="left"/>
    </xf>
    <xf numFmtId="0" fontId="14" fillId="4" borderId="15" xfId="8" applyFont="1" applyFill="1" applyBorder="1" applyAlignment="1">
      <alignment horizontal="left"/>
    </xf>
    <xf numFmtId="0" fontId="16" fillId="0" borderId="0" xfId="0" applyFont="1" applyFill="1" applyAlignment="1">
      <alignment horizontal="left"/>
    </xf>
    <xf numFmtId="164" fontId="8" fillId="3" borderId="66" xfId="5" applyNumberFormat="1" applyFont="1" applyFill="1" applyBorder="1" applyAlignment="1">
      <alignment horizontal="left"/>
    </xf>
    <xf numFmtId="164" fontId="8" fillId="3" borderId="67" xfId="5" applyNumberFormat="1" applyFont="1" applyFill="1" applyBorder="1" applyAlignment="1">
      <alignment horizontal="left"/>
    </xf>
    <xf numFmtId="164" fontId="8" fillId="3" borderId="68" xfId="5" applyNumberFormat="1" applyFont="1" applyFill="1" applyBorder="1" applyAlignment="1">
      <alignment horizontal="left"/>
    </xf>
    <xf numFmtId="0" fontId="9" fillId="0" borderId="68" xfId="0" applyFont="1" applyFill="1" applyBorder="1" applyAlignment="1">
      <alignment horizontal="center"/>
    </xf>
    <xf numFmtId="0" fontId="12" fillId="0" borderId="66" xfId="0" applyFont="1" applyFill="1" applyBorder="1" applyAlignment="1">
      <alignment horizontal="center"/>
    </xf>
    <xf numFmtId="0" fontId="12" fillId="0" borderId="67" xfId="0" applyFont="1" applyFill="1" applyBorder="1" applyAlignment="1">
      <alignment horizontal="center"/>
    </xf>
    <xf numFmtId="0" fontId="12" fillId="0" borderId="68" xfId="0" applyFont="1" applyFill="1" applyBorder="1" applyAlignment="1">
      <alignment horizontal="center"/>
    </xf>
    <xf numFmtId="167" fontId="16" fillId="0" borderId="0" xfId="8" applyNumberFormat="1" applyFont="1" applyFill="1" applyBorder="1" applyAlignment="1" applyProtection="1">
      <alignment horizontal="left"/>
      <protection locked="0"/>
    </xf>
    <xf numFmtId="167" fontId="7" fillId="0" borderId="0" xfId="8" applyNumberFormat="1" applyFont="1" applyFill="1" applyBorder="1" applyAlignment="1">
      <alignment horizontal="left"/>
    </xf>
    <xf numFmtId="0" fontId="7" fillId="0" borderId="0" xfId="8" applyFont="1" applyFill="1" applyBorder="1" applyAlignment="1">
      <alignment horizontal="left"/>
    </xf>
    <xf numFmtId="164" fontId="15" fillId="0" borderId="8" xfId="0" applyNumberFormat="1" applyFont="1" applyFill="1" applyBorder="1" applyAlignment="1">
      <alignment horizontal="center"/>
    </xf>
    <xf numFmtId="164" fontId="15" fillId="0" borderId="23" xfId="0" applyNumberFormat="1" applyFont="1" applyFill="1" applyBorder="1" applyAlignment="1">
      <alignment horizontal="center"/>
    </xf>
    <xf numFmtId="164" fontId="15" fillId="0" borderId="9" xfId="0" applyNumberFormat="1" applyFont="1" applyFill="1" applyBorder="1" applyAlignment="1">
      <alignment horizontal="center"/>
    </xf>
    <xf numFmtId="0" fontId="9" fillId="0" borderId="71" xfId="0" applyFont="1" applyFill="1" applyBorder="1" applyAlignment="1">
      <alignment horizontal="center"/>
    </xf>
    <xf numFmtId="2" fontId="7" fillId="0" borderId="0" xfId="8" applyNumberFormat="1" applyFont="1" applyFill="1" applyAlignment="1">
      <alignment horizontal="left"/>
    </xf>
    <xf numFmtId="0" fontId="10" fillId="9" borderId="13" xfId="10" applyFont="1" applyFill="1" applyBorder="1" applyAlignment="1">
      <alignment horizontal="center"/>
    </xf>
    <xf numFmtId="0" fontId="10" fillId="9" borderId="15" xfId="10" applyFont="1" applyFill="1" applyBorder="1" applyAlignment="1">
      <alignment horizontal="center"/>
    </xf>
    <xf numFmtId="0" fontId="10" fillId="7" borderId="13" xfId="10" applyFont="1" applyFill="1" applyBorder="1" applyAlignment="1">
      <alignment horizontal="center"/>
    </xf>
    <xf numFmtId="0" fontId="10" fillId="7" borderId="15" xfId="10" applyFont="1" applyFill="1" applyBorder="1" applyAlignment="1">
      <alignment horizontal="center"/>
    </xf>
    <xf numFmtId="0" fontId="10" fillId="10" borderId="13" xfId="10" applyFont="1" applyFill="1" applyBorder="1" applyAlignment="1">
      <alignment horizontal="center"/>
    </xf>
    <xf numFmtId="0" fontId="10" fillId="10" borderId="15" xfId="10" applyFont="1" applyFill="1" applyBorder="1" applyAlignment="1">
      <alignment horizontal="center"/>
    </xf>
    <xf numFmtId="164" fontId="15" fillId="4" borderId="66" xfId="5" applyNumberFormat="1" applyFont="1" applyFill="1" applyBorder="1" applyAlignment="1">
      <alignment horizontal="center"/>
    </xf>
    <xf numFmtId="164" fontId="15" fillId="4" borderId="67" xfId="5" applyNumberFormat="1" applyFont="1" applyFill="1" applyBorder="1" applyAlignment="1">
      <alignment horizontal="center"/>
    </xf>
    <xf numFmtId="164" fontId="15" fillId="4" borderId="68" xfId="5" applyNumberFormat="1" applyFont="1" applyFill="1" applyBorder="1" applyAlignment="1">
      <alignment horizontal="center"/>
    </xf>
    <xf numFmtId="0" fontId="14" fillId="6" borderId="13" xfId="10" applyFont="1" applyFill="1" applyBorder="1" applyAlignment="1">
      <alignment horizontal="left"/>
    </xf>
    <xf numFmtId="0" fontId="14" fillId="6" borderId="15" xfId="10" applyFont="1" applyFill="1" applyBorder="1" applyAlignment="1">
      <alignment horizontal="left"/>
    </xf>
    <xf numFmtId="0" fontId="14" fillId="6" borderId="18" xfId="10" applyFont="1" applyFill="1" applyBorder="1" applyAlignment="1">
      <alignment horizontal="left"/>
    </xf>
    <xf numFmtId="0" fontId="14" fillId="6" borderId="19" xfId="10" applyFont="1" applyFill="1" applyBorder="1" applyAlignment="1">
      <alignment horizontal="left"/>
    </xf>
    <xf numFmtId="164" fontId="8" fillId="3" borderId="64" xfId="5" applyNumberFormat="1" applyFont="1" applyFill="1" applyBorder="1" applyAlignment="1">
      <alignment horizontal="left"/>
    </xf>
    <xf numFmtId="0" fontId="8" fillId="3" borderId="64" xfId="8" applyFont="1" applyFill="1" applyBorder="1" applyAlignment="1">
      <alignment horizontal="left"/>
    </xf>
    <xf numFmtId="164" fontId="8" fillId="3" borderId="66" xfId="5" applyNumberFormat="1" applyFont="1" applyFill="1" applyBorder="1" applyAlignment="1">
      <alignment horizontal="left" vertical="center"/>
    </xf>
    <xf numFmtId="164" fontId="8" fillId="3" borderId="67" xfId="5" applyNumberFormat="1" applyFont="1" applyFill="1" applyBorder="1" applyAlignment="1">
      <alignment horizontal="left" vertical="center"/>
    </xf>
    <xf numFmtId="164" fontId="8" fillId="3" borderId="68" xfId="5" applyNumberFormat="1" applyFont="1" applyFill="1" applyBorder="1" applyAlignment="1">
      <alignment horizontal="left" vertical="center"/>
    </xf>
    <xf numFmtId="164" fontId="8" fillId="0" borderId="0" xfId="0" applyNumberFormat="1" applyFont="1" applyFill="1" applyBorder="1" applyAlignment="1">
      <alignment horizontal="center"/>
    </xf>
    <xf numFmtId="0" fontId="16" fillId="0" borderId="0" xfId="7" applyFont="1" applyFill="1" applyAlignment="1">
      <alignment horizontal="left"/>
    </xf>
    <xf numFmtId="0" fontId="8" fillId="0" borderId="70" xfId="7" applyFont="1" applyBorder="1" applyAlignment="1">
      <alignment horizontal="center"/>
    </xf>
    <xf numFmtId="0" fontId="8" fillId="0" borderId="73" xfId="7" applyFont="1" applyBorder="1" applyAlignment="1">
      <alignment horizontal="center"/>
    </xf>
    <xf numFmtId="0" fontId="8" fillId="0" borderId="74" xfId="7" applyFont="1" applyBorder="1" applyAlignment="1">
      <alignment horizontal="center"/>
    </xf>
    <xf numFmtId="0" fontId="8" fillId="0" borderId="69" xfId="7" applyFont="1" applyBorder="1" applyAlignment="1">
      <alignment horizontal="center"/>
    </xf>
    <xf numFmtId="2" fontId="7" fillId="0" borderId="0" xfId="7" applyNumberFormat="1" applyFont="1" applyFill="1" applyAlignment="1">
      <alignment horizontal="left"/>
    </xf>
    <xf numFmtId="0" fontId="15" fillId="0" borderId="13" xfId="5" applyFont="1" applyBorder="1" applyAlignment="1">
      <alignment horizontal="center"/>
    </xf>
    <xf numFmtId="0" fontId="15" fillId="0" borderId="14" xfId="5" applyFont="1" applyBorder="1" applyAlignment="1">
      <alignment horizontal="center"/>
    </xf>
    <xf numFmtId="0" fontId="15" fillId="0" borderId="15" xfId="5" applyFont="1" applyBorder="1" applyAlignment="1">
      <alignment horizontal="center"/>
    </xf>
    <xf numFmtId="0" fontId="8" fillId="0" borderId="66" xfId="7" applyFont="1" applyFill="1" applyBorder="1" applyAlignment="1">
      <alignment horizontal="center" vertical="center"/>
    </xf>
    <xf numFmtId="0" fontId="8" fillId="0" borderId="68" xfId="7" applyFont="1" applyFill="1" applyBorder="1" applyAlignment="1">
      <alignment horizontal="center" vertical="center"/>
    </xf>
    <xf numFmtId="0" fontId="8" fillId="0" borderId="67" xfId="7" applyFont="1" applyFill="1" applyBorder="1" applyAlignment="1">
      <alignment horizontal="center" vertical="center"/>
    </xf>
    <xf numFmtId="0" fontId="15" fillId="0" borderId="6" xfId="5" applyFont="1" applyBorder="1" applyAlignment="1">
      <alignment horizontal="center"/>
    </xf>
    <xf numFmtId="0" fontId="15" fillId="0" borderId="40" xfId="5" applyFont="1" applyBorder="1" applyAlignment="1">
      <alignment horizontal="center"/>
    </xf>
    <xf numFmtId="0" fontId="15" fillId="0" borderId="37" xfId="5" applyFont="1" applyBorder="1" applyAlignment="1">
      <alignment horizontal="center"/>
    </xf>
    <xf numFmtId="164" fontId="15" fillId="0" borderId="8" xfId="0" applyNumberFormat="1" applyFont="1" applyBorder="1" applyAlignment="1">
      <alignment horizontal="center"/>
    </xf>
    <xf numFmtId="164" fontId="15" fillId="0" borderId="23" xfId="0" applyNumberFormat="1" applyFont="1" applyBorder="1" applyAlignment="1">
      <alignment horizontal="center"/>
    </xf>
    <xf numFmtId="164" fontId="15" fillId="0" borderId="9" xfId="0" applyNumberFormat="1" applyFont="1" applyBorder="1" applyAlignment="1">
      <alignment horizontal="center"/>
    </xf>
    <xf numFmtId="2" fontId="7" fillId="3" borderId="0" xfId="8" applyNumberFormat="1" applyFont="1" applyFill="1" applyAlignment="1">
      <alignment horizontal="left"/>
    </xf>
    <xf numFmtId="164" fontId="15" fillId="0" borderId="33" xfId="0" applyNumberFormat="1" applyFont="1" applyBorder="1" applyAlignment="1">
      <alignment horizontal="center"/>
    </xf>
    <xf numFmtId="164" fontId="15" fillId="0" borderId="34" xfId="0" applyNumberFormat="1" applyFont="1" applyBorder="1" applyAlignment="1">
      <alignment horizontal="center"/>
    </xf>
    <xf numFmtId="164" fontId="15" fillId="0" borderId="7" xfId="0" applyNumberFormat="1" applyFont="1" applyBorder="1" applyAlignment="1">
      <alignment horizontal="center"/>
    </xf>
    <xf numFmtId="0" fontId="16" fillId="0" borderId="0" xfId="0" applyFont="1" applyAlignment="1">
      <alignment horizontal="left"/>
    </xf>
    <xf numFmtId="167" fontId="16" fillId="0" borderId="0" xfId="0" applyNumberFormat="1" applyFont="1" applyAlignment="1">
      <alignment horizontal="left"/>
    </xf>
    <xf numFmtId="167" fontId="16" fillId="0" borderId="0" xfId="10" applyNumberFormat="1" applyFont="1" applyAlignment="1">
      <alignment horizontal="left"/>
    </xf>
    <xf numFmtId="0" fontId="68" fillId="36" borderId="52" xfId="23" applyFont="1" applyFill="1" applyBorder="1" applyAlignment="1">
      <alignment horizontal="center" vertical="center" textRotation="180" wrapText="1"/>
    </xf>
    <xf numFmtId="0" fontId="68" fillId="36" borderId="61" xfId="23" applyFont="1" applyFill="1" applyBorder="1" applyAlignment="1">
      <alignment horizontal="center" vertical="center" textRotation="180" wrapText="1"/>
    </xf>
    <xf numFmtId="0" fontId="68" fillId="36" borderId="62" xfId="23" applyFont="1" applyFill="1" applyBorder="1" applyAlignment="1">
      <alignment horizontal="center" vertical="center" textRotation="180" wrapText="1"/>
    </xf>
    <xf numFmtId="0" fontId="58" fillId="0" borderId="3" xfId="0" applyFont="1" applyBorder="1" applyAlignment="1">
      <alignment horizontal="center"/>
    </xf>
    <xf numFmtId="0" fontId="25" fillId="0" borderId="52" xfId="7" applyFont="1" applyFill="1" applyBorder="1" applyAlignment="1">
      <alignment horizontal="center" vertical="center" wrapText="1"/>
    </xf>
    <xf numFmtId="0" fontId="25" fillId="0" borderId="61" xfId="7" applyFont="1" applyFill="1" applyBorder="1" applyAlignment="1">
      <alignment horizontal="center" vertical="center" wrapText="1"/>
    </xf>
    <xf numFmtId="0" fontId="25" fillId="0" borderId="62" xfId="7" applyFont="1" applyFill="1" applyBorder="1" applyAlignment="1">
      <alignment horizontal="center" vertical="center" wrapText="1"/>
    </xf>
    <xf numFmtId="0" fontId="50" fillId="0" borderId="13" xfId="7" applyFont="1" applyFill="1" applyBorder="1" applyAlignment="1">
      <alignment horizontal="center" vertical="center" wrapText="1"/>
    </xf>
    <xf numFmtId="0" fontId="49" fillId="0" borderId="15" xfId="7" applyFont="1" applyFill="1" applyBorder="1" applyAlignment="1">
      <alignment horizontal="center" vertical="center" wrapText="1"/>
    </xf>
    <xf numFmtId="0" fontId="16" fillId="3" borderId="13" xfId="7" applyFont="1" applyFill="1" applyBorder="1" applyAlignment="1">
      <alignment horizontal="center" vertical="center" wrapText="1"/>
    </xf>
    <xf numFmtId="0" fontId="16" fillId="3" borderId="15" xfId="7" applyFont="1" applyFill="1" applyBorder="1" applyAlignment="1">
      <alignment horizontal="center" vertical="center" wrapText="1"/>
    </xf>
  </cellXfs>
  <cellStyles count="76">
    <cellStyle name="20% - Accent1 2" xfId="24" xr:uid="{00000000-0005-0000-0000-000000000000}"/>
    <cellStyle name="20% - Accent2 2" xfId="25" xr:uid="{00000000-0005-0000-0000-000001000000}"/>
    <cellStyle name="20% - Accent3 2" xfId="26" xr:uid="{00000000-0005-0000-0000-000002000000}"/>
    <cellStyle name="20% - Accent4 2" xfId="27" xr:uid="{00000000-0005-0000-0000-000003000000}"/>
    <cellStyle name="20% - Accent5 2" xfId="28" xr:uid="{00000000-0005-0000-0000-000004000000}"/>
    <cellStyle name="20% - Accent6 2" xfId="29" xr:uid="{00000000-0005-0000-0000-000005000000}"/>
    <cellStyle name="40% - Accent1 2" xfId="30" xr:uid="{00000000-0005-0000-0000-000006000000}"/>
    <cellStyle name="40% - Accent2 2" xfId="31" xr:uid="{00000000-0005-0000-0000-000007000000}"/>
    <cellStyle name="40% - Accent3 2" xfId="32" xr:uid="{00000000-0005-0000-0000-000008000000}"/>
    <cellStyle name="40% - Accent4 2" xfId="33" xr:uid="{00000000-0005-0000-0000-000009000000}"/>
    <cellStyle name="40% - Accent5 2" xfId="34" xr:uid="{00000000-0005-0000-0000-00000A000000}"/>
    <cellStyle name="40% - Accent6 2" xfId="35" xr:uid="{00000000-0005-0000-0000-00000B000000}"/>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2" xfId="42" xr:uid="{00000000-0005-0000-0000-000012000000}"/>
    <cellStyle name="Accent2 2" xfId="43" xr:uid="{00000000-0005-0000-0000-000013000000}"/>
    <cellStyle name="Accent3 2" xfId="44" xr:uid="{00000000-0005-0000-0000-000014000000}"/>
    <cellStyle name="Accent4 2" xfId="45" xr:uid="{00000000-0005-0000-0000-000015000000}"/>
    <cellStyle name="Accent5 2" xfId="46" xr:uid="{00000000-0005-0000-0000-000016000000}"/>
    <cellStyle name="Accent6 2" xfId="47" xr:uid="{00000000-0005-0000-0000-000017000000}"/>
    <cellStyle name="Bad 2" xfId="48" xr:uid="{00000000-0005-0000-0000-000018000000}"/>
    <cellStyle name="Calculation 2" xfId="49" xr:uid="{00000000-0005-0000-0000-000019000000}"/>
    <cellStyle name="Check Cell 2" xfId="50" xr:uid="{00000000-0005-0000-0000-00001A000000}"/>
    <cellStyle name="Comma" xfId="1" builtinId="3"/>
    <cellStyle name="Comma 2" xfId="13" xr:uid="{00000000-0005-0000-0000-00001C000000}"/>
    <cellStyle name="Comma 2 2" xfId="9" xr:uid="{00000000-0005-0000-0000-00001D000000}"/>
    <cellStyle name="Comma 3" xfId="17" xr:uid="{00000000-0005-0000-0000-00001E000000}"/>
    <cellStyle name="Comma0" xfId="51" xr:uid="{00000000-0005-0000-0000-00001F000000}"/>
    <cellStyle name="Explanatory Text 2" xfId="52" xr:uid="{00000000-0005-0000-0000-000020000000}"/>
    <cellStyle name="Good 2" xfId="53" xr:uid="{00000000-0005-0000-0000-000021000000}"/>
    <cellStyle name="Heading 1 2" xfId="54" xr:uid="{00000000-0005-0000-0000-000022000000}"/>
    <cellStyle name="Heading 2 2" xfId="55" xr:uid="{00000000-0005-0000-0000-000023000000}"/>
    <cellStyle name="Heading 3 2" xfId="56" xr:uid="{00000000-0005-0000-0000-000024000000}"/>
    <cellStyle name="Heading 4 2" xfId="57" xr:uid="{00000000-0005-0000-0000-000025000000}"/>
    <cellStyle name="Hyperlink" xfId="15" builtinId="8" customBuiltin="1"/>
    <cellStyle name="Hyperlink 2" xfId="68" xr:uid="{00000000-0005-0000-0000-000027000000}"/>
    <cellStyle name="Hyperlink 2 2" xfId="72" xr:uid="{00000000-0005-0000-0000-000028000000}"/>
    <cellStyle name="Hyperlink 3" xfId="67" xr:uid="{00000000-0005-0000-0000-000029000000}"/>
    <cellStyle name="Hyperlink 3 2" xfId="73" xr:uid="{00000000-0005-0000-0000-00002A000000}"/>
    <cellStyle name="Input 2" xfId="58" xr:uid="{00000000-0005-0000-0000-00002B000000}"/>
    <cellStyle name="Linked Cell 2" xfId="59" xr:uid="{00000000-0005-0000-0000-00002C000000}"/>
    <cellStyle name="Neutral 2" xfId="60" xr:uid="{00000000-0005-0000-0000-00002D000000}"/>
    <cellStyle name="Normal" xfId="0" builtinId="0"/>
    <cellStyle name="Normal 2" xfId="7" xr:uid="{00000000-0005-0000-0000-00002F000000}"/>
    <cellStyle name="Normal 2 2" xfId="10" xr:uid="{00000000-0005-0000-0000-000030000000}"/>
    <cellStyle name="Normal 2 2 2" xfId="71" xr:uid="{00000000-0005-0000-0000-000031000000}"/>
    <cellStyle name="Normal 3" xfId="5" xr:uid="{00000000-0005-0000-0000-000032000000}"/>
    <cellStyle name="Normal 3 2" xfId="8" xr:uid="{00000000-0005-0000-0000-000033000000}"/>
    <cellStyle name="Normal 3 2 2" xfId="66" xr:uid="{00000000-0005-0000-0000-000034000000}"/>
    <cellStyle name="Normal 4" xfId="18" xr:uid="{00000000-0005-0000-0000-000035000000}"/>
    <cellStyle name="Normal 4 2" xfId="23" xr:uid="{00000000-0005-0000-0000-000036000000}"/>
    <cellStyle name="Normal 5" xfId="19" xr:uid="{00000000-0005-0000-0000-000037000000}"/>
    <cellStyle name="Normal 5 2" xfId="69" xr:uid="{00000000-0005-0000-0000-000038000000}"/>
    <cellStyle name="Normal 5 2 2" xfId="74" xr:uid="{00000000-0005-0000-0000-000039000000}"/>
    <cellStyle name="Normal 6" xfId="70" xr:uid="{00000000-0005-0000-0000-00003A000000}"/>
    <cellStyle name="Normal 7" xfId="75" xr:uid="{00000000-0005-0000-0000-00003B000000}"/>
    <cellStyle name="Normal_PREDICTED READINESS CALCULATOR (FRP GNFPP)" xfId="16" xr:uid="{00000000-0005-0000-0000-00003C000000}"/>
    <cellStyle name="Normal_Task Options - Gooch Chopped" xfId="12" xr:uid="{00000000-0005-0000-0000-00003D000000}"/>
    <cellStyle name="Normal1" xfId="2" xr:uid="{00000000-0005-0000-0000-00003E000000}"/>
    <cellStyle name="Normal2" xfId="3" xr:uid="{00000000-0005-0000-0000-00003F000000}"/>
    <cellStyle name="Note 2" xfId="61" xr:uid="{00000000-0005-0000-0000-000040000000}"/>
    <cellStyle name="Output 2" xfId="62" xr:uid="{00000000-0005-0000-0000-000041000000}"/>
    <cellStyle name="Percent" xfId="4" builtinId="5"/>
    <cellStyle name="Percent 2" xfId="6" xr:uid="{00000000-0005-0000-0000-000043000000}"/>
    <cellStyle name="Percent 2 2" xfId="11" xr:uid="{00000000-0005-0000-0000-000044000000}"/>
    <cellStyle name="Percent 2 2 2" xfId="14" xr:uid="{00000000-0005-0000-0000-000045000000}"/>
    <cellStyle name="Percent 2 3" xfId="20" xr:uid="{00000000-0005-0000-0000-000046000000}"/>
    <cellStyle name="Percent 3" xfId="21" xr:uid="{00000000-0005-0000-0000-000047000000}"/>
    <cellStyle name="Percent 3 2" xfId="22" xr:uid="{00000000-0005-0000-0000-000048000000}"/>
    <cellStyle name="Title 2" xfId="63" xr:uid="{00000000-0005-0000-0000-000049000000}"/>
    <cellStyle name="Total 2" xfId="64" xr:uid="{00000000-0005-0000-0000-00004A000000}"/>
    <cellStyle name="Warning Text 2" xfId="65" xr:uid="{00000000-0005-0000-0000-00004B000000}"/>
  </cellStyles>
  <dxfs count="175">
    <dxf>
      <fill>
        <patternFill>
          <bgColor theme="9" tint="0.79998168889431442"/>
        </patternFill>
      </fill>
    </dxf>
    <dxf>
      <fill>
        <patternFill>
          <bgColor theme="0" tint="-0.24994659260841701"/>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ndense val="0"/>
        <extend val="0"/>
        <color auto="1"/>
      </font>
      <fill>
        <patternFill>
          <bgColor indexed="47"/>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ndense val="0"/>
        <extend val="0"/>
        <color auto="1"/>
      </font>
      <fill>
        <patternFill>
          <bgColor indexed="47"/>
        </patternFill>
      </fill>
    </dxf>
    <dxf>
      <font>
        <color rgb="FF66FF66"/>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ndense val="0"/>
        <extend val="0"/>
        <color auto="1"/>
      </font>
      <fill>
        <patternFill>
          <bgColor indexed="47"/>
        </patternFill>
      </fill>
    </dxf>
    <dxf>
      <font>
        <color rgb="FFFFFF9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s>
  <tableStyles count="0" defaultTableStyle="TableStyleMedium9" defaultPivotStyle="PivotStyleLight16"/>
  <colors>
    <mruColors>
      <color rgb="FF00FF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'MH-60R CVW 11 Plane 20 Crew'!$A$19</c:f>
              <c:strCache>
                <c:ptCount val="1"/>
                <c:pt idx="0">
                  <c:v>% of T&amp;R Matrix</c:v>
                </c:pt>
              </c:strCache>
            </c:strRef>
          </c:tx>
          <c:spPr>
            <a:ln>
              <a:solidFill>
                <a:schemeClr val="tx1"/>
              </a:solidFill>
            </a:ln>
          </c:spPr>
          <c:invertIfNegative val="0"/>
          <c:dPt>
            <c:idx val="0"/>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1-CE81-4B39-BE4E-C4DCB27D9969}"/>
              </c:ext>
            </c:extLst>
          </c:dPt>
          <c:dPt>
            <c:idx val="1"/>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3-CE81-4B39-BE4E-C4DCB27D9969}"/>
              </c:ext>
            </c:extLst>
          </c:dPt>
          <c:dPt>
            <c:idx val="2"/>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5-CE81-4B39-BE4E-C4DCB27D9969}"/>
              </c:ext>
            </c:extLst>
          </c:dPt>
          <c:dPt>
            <c:idx val="3"/>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7-CE81-4B39-BE4E-C4DCB27D9969}"/>
              </c:ext>
            </c:extLst>
          </c:dPt>
          <c:dPt>
            <c:idx val="4"/>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9-CE81-4B39-BE4E-C4DCB27D9969}"/>
              </c:ext>
            </c:extLst>
          </c:dPt>
          <c:dPt>
            <c:idx val="5"/>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B-CE81-4B39-BE4E-C4DCB27D9969}"/>
              </c:ext>
            </c:extLst>
          </c:dPt>
          <c:dPt>
            <c:idx val="6"/>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D-CE81-4B39-BE4E-C4DCB27D9969}"/>
              </c:ext>
            </c:extLst>
          </c:dPt>
          <c:dPt>
            <c:idx val="7"/>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F-CE81-4B39-BE4E-C4DCB27D9969}"/>
              </c:ext>
            </c:extLst>
          </c:dPt>
          <c:dPt>
            <c:idx val="8"/>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11-CE81-4B39-BE4E-C4DCB27D9969}"/>
              </c:ext>
            </c:extLst>
          </c:dPt>
          <c:dPt>
            <c:idx val="9"/>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3-CE81-4B39-BE4E-C4DCB27D9969}"/>
              </c:ext>
            </c:extLst>
          </c:dPt>
          <c:dPt>
            <c:idx val="10"/>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5-CE81-4B39-BE4E-C4DCB27D9969}"/>
              </c:ext>
            </c:extLst>
          </c:dPt>
          <c:dPt>
            <c:idx val="11"/>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7-CE81-4B39-BE4E-C4DCB27D9969}"/>
              </c:ext>
            </c:extLst>
          </c:dPt>
          <c:dPt>
            <c:idx val="1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9-CE81-4B39-BE4E-C4DCB27D9969}"/>
              </c:ext>
            </c:extLst>
          </c:dPt>
          <c:dPt>
            <c:idx val="1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B-CE81-4B39-BE4E-C4DCB27D9969}"/>
              </c:ext>
            </c:extLst>
          </c:dPt>
          <c:dPt>
            <c:idx val="1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D-CE81-4B39-BE4E-C4DCB27D9969}"/>
              </c:ext>
            </c:extLst>
          </c:dPt>
          <c:dPt>
            <c:idx val="1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F-CE81-4B39-BE4E-C4DCB27D9969}"/>
              </c:ext>
            </c:extLst>
          </c:dPt>
          <c:dPt>
            <c:idx val="16"/>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1-CE81-4B39-BE4E-C4DCB27D9969}"/>
              </c:ext>
            </c:extLst>
          </c:dPt>
          <c:dPt>
            <c:idx val="17"/>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3-CE81-4B39-BE4E-C4DCB27D9969}"/>
              </c:ext>
            </c:extLst>
          </c:dPt>
          <c:dPt>
            <c:idx val="18"/>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5-CE81-4B39-BE4E-C4DCB27D9969}"/>
              </c:ext>
            </c:extLst>
          </c:dPt>
          <c:dPt>
            <c:idx val="19"/>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7-CE81-4B39-BE4E-C4DCB27D9969}"/>
              </c:ext>
            </c:extLst>
          </c:dPt>
          <c:dPt>
            <c:idx val="20"/>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9-CE81-4B39-BE4E-C4DCB27D9969}"/>
              </c:ext>
            </c:extLst>
          </c:dPt>
          <c:dPt>
            <c:idx val="21"/>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B-CE81-4B39-BE4E-C4DCB27D9969}"/>
              </c:ext>
            </c:extLst>
          </c:dPt>
          <c:dPt>
            <c:idx val="2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D-CE81-4B39-BE4E-C4DCB27D9969}"/>
              </c:ext>
            </c:extLst>
          </c:dPt>
          <c:dPt>
            <c:idx val="2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F-CE81-4B39-BE4E-C4DCB27D9969}"/>
              </c:ext>
            </c:extLst>
          </c:dPt>
          <c:dPt>
            <c:idx val="2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1-CE81-4B39-BE4E-C4DCB27D9969}"/>
              </c:ext>
            </c:extLst>
          </c:dPt>
          <c:dPt>
            <c:idx val="2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3-CE81-4B39-BE4E-C4DCB27D9969}"/>
              </c:ext>
            </c:extLst>
          </c:dPt>
          <c:dPt>
            <c:idx val="26"/>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5-CE81-4B39-BE4E-C4DCB27D9969}"/>
              </c:ext>
            </c:extLst>
          </c:dPt>
          <c:cat>
            <c:strRef>
              <c:f>'MH-60R CVW 11 Plane 20 Crew'!$B$14:$AB$14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CVW 11 Plane 20 Crew'!$B$19:$AB$19</c:f>
              <c:numCache>
                <c:formatCode>0%</c:formatCode>
                <c:ptCount val="27"/>
                <c:pt idx="0">
                  <c:v>0.5</c:v>
                </c:pt>
                <c:pt idx="1">
                  <c:v>0.5</c:v>
                </c:pt>
                <c:pt idx="2">
                  <c:v>0.5</c:v>
                </c:pt>
                <c:pt idx="3">
                  <c:v>0.5</c:v>
                </c:pt>
                <c:pt idx="4">
                  <c:v>0.5</c:v>
                </c:pt>
                <c:pt idx="5">
                  <c:v>0.5</c:v>
                </c:pt>
                <c:pt idx="6">
                  <c:v>0.55000000000000004</c:v>
                </c:pt>
                <c:pt idx="7">
                  <c:v>0.6</c:v>
                </c:pt>
                <c:pt idx="8">
                  <c:v>0.65</c:v>
                </c:pt>
                <c:pt idx="9">
                  <c:v>0.7</c:v>
                </c:pt>
                <c:pt idx="10">
                  <c:v>0.7</c:v>
                </c:pt>
                <c:pt idx="11">
                  <c:v>0.7</c:v>
                </c:pt>
                <c:pt idx="12">
                  <c:v>0.7</c:v>
                </c:pt>
                <c:pt idx="13">
                  <c:v>0.7</c:v>
                </c:pt>
                <c:pt idx="14">
                  <c:v>0.7</c:v>
                </c:pt>
                <c:pt idx="15">
                  <c:v>0.4</c:v>
                </c:pt>
                <c:pt idx="16">
                  <c:v>0.8</c:v>
                </c:pt>
                <c:pt idx="17">
                  <c:v>0.8</c:v>
                </c:pt>
                <c:pt idx="18">
                  <c:v>0.8</c:v>
                </c:pt>
                <c:pt idx="19">
                  <c:v>0.8</c:v>
                </c:pt>
                <c:pt idx="20">
                  <c:v>0.8</c:v>
                </c:pt>
                <c:pt idx="21">
                  <c:v>0.7</c:v>
                </c:pt>
                <c:pt idx="22">
                  <c:v>0.4</c:v>
                </c:pt>
                <c:pt idx="23">
                  <c:v>0.6</c:v>
                </c:pt>
                <c:pt idx="24">
                  <c:v>0.6</c:v>
                </c:pt>
                <c:pt idx="25">
                  <c:v>0.6</c:v>
                </c:pt>
                <c:pt idx="26">
                  <c:v>0.6</c:v>
                </c:pt>
              </c:numCache>
            </c:numRef>
          </c:val>
          <c:extLst>
            <c:ext xmlns:c16="http://schemas.microsoft.com/office/drawing/2014/chart" uri="{C3380CC4-5D6E-409C-BE32-E72D297353CC}">
              <c16:uniqueId val="{00000036-CE81-4B39-BE4E-C4DCB27D9969}"/>
            </c:ext>
          </c:extLst>
        </c:ser>
        <c:dLbls>
          <c:showLegendKey val="0"/>
          <c:showVal val="0"/>
          <c:showCatName val="0"/>
          <c:showSerName val="0"/>
          <c:showPercent val="0"/>
          <c:showBubbleSize val="0"/>
        </c:dLbls>
        <c:gapWidth val="150"/>
        <c:axId val="115487104"/>
        <c:axId val="115485312"/>
      </c:barChart>
      <c:lineChart>
        <c:grouping val="standard"/>
        <c:varyColors val="0"/>
        <c:ser>
          <c:idx val="1"/>
          <c:order val="1"/>
          <c:tx>
            <c:strRef>
              <c:f>'MH-60R CVW 11 Plane 20 Crew'!$A$18</c:f>
              <c:strCache>
                <c:ptCount val="1"/>
                <c:pt idx="0">
                  <c:v>Average Training Readiness (ATR) Standard</c:v>
                </c:pt>
              </c:strCache>
            </c:strRef>
          </c:tx>
          <c:spPr>
            <a:ln>
              <a:solidFill>
                <a:srgbClr val="00CC00"/>
              </a:solidFill>
            </a:ln>
          </c:spPr>
          <c:marker>
            <c:symbol val="none"/>
          </c:marker>
          <c:cat>
            <c:strRef>
              <c:f>'MH-60R CVW 11 Plane 20 Crew'!$B$14:$AB$14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CVW 11 Plane 20 Crew'!$B$18:$AB$18</c:f>
              <c:numCache>
                <c:formatCode>0.00</c:formatCode>
                <c:ptCount val="27"/>
                <c:pt idx="0">
                  <c:v>5</c:v>
                </c:pt>
                <c:pt idx="1">
                  <c:v>5</c:v>
                </c:pt>
                <c:pt idx="2">
                  <c:v>5</c:v>
                </c:pt>
                <c:pt idx="3">
                  <c:v>5</c:v>
                </c:pt>
                <c:pt idx="4">
                  <c:v>5</c:v>
                </c:pt>
                <c:pt idx="5">
                  <c:v>5</c:v>
                </c:pt>
                <c:pt idx="6">
                  <c:v>5</c:v>
                </c:pt>
                <c:pt idx="7">
                  <c:v>20</c:v>
                </c:pt>
                <c:pt idx="8">
                  <c:v>42</c:v>
                </c:pt>
                <c:pt idx="9">
                  <c:v>60</c:v>
                </c:pt>
                <c:pt idx="10">
                  <c:v>70</c:v>
                </c:pt>
                <c:pt idx="11">
                  <c:v>70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numCache>
            </c:numRef>
          </c:val>
          <c:smooth val="0"/>
          <c:extLst>
            <c:ext xmlns:c16="http://schemas.microsoft.com/office/drawing/2014/chart" uri="{C3380CC4-5D6E-409C-BE32-E72D297353CC}">
              <c16:uniqueId val="{00000037-CE81-4B39-BE4E-C4DCB27D9969}"/>
            </c:ext>
          </c:extLst>
        </c:ser>
        <c:dLbls>
          <c:showLegendKey val="0"/>
          <c:showVal val="0"/>
          <c:showCatName val="0"/>
          <c:showSerName val="0"/>
          <c:showPercent val="0"/>
          <c:showBubbleSize val="0"/>
        </c:dLbls>
        <c:marker val="1"/>
        <c:smooth val="0"/>
        <c:axId val="115457408"/>
        <c:axId val="115483776"/>
      </c:lineChart>
      <c:catAx>
        <c:axId val="115457408"/>
        <c:scaling>
          <c:orientation val="minMax"/>
        </c:scaling>
        <c:delete val="0"/>
        <c:axPos val="b"/>
        <c:numFmt formatCode="General" sourceLinked="0"/>
        <c:majorTickMark val="out"/>
        <c:minorTickMark val="none"/>
        <c:tickLblPos val="nextTo"/>
        <c:crossAx val="115483776"/>
        <c:crosses val="autoZero"/>
        <c:auto val="1"/>
        <c:lblAlgn val="ctr"/>
        <c:lblOffset val="100"/>
        <c:noMultiLvlLbl val="0"/>
      </c:catAx>
      <c:valAx>
        <c:axId val="115483776"/>
        <c:scaling>
          <c:orientation val="minMax"/>
          <c:max val="100"/>
        </c:scaling>
        <c:delete val="0"/>
        <c:axPos val="l"/>
        <c:numFmt formatCode="0" sourceLinked="0"/>
        <c:majorTickMark val="cross"/>
        <c:minorTickMark val="none"/>
        <c:tickLblPos val="nextTo"/>
        <c:crossAx val="115457408"/>
        <c:crosses val="autoZero"/>
        <c:crossBetween val="between"/>
      </c:valAx>
      <c:valAx>
        <c:axId val="115485312"/>
        <c:scaling>
          <c:orientation val="minMax"/>
          <c:max val="1"/>
        </c:scaling>
        <c:delete val="0"/>
        <c:axPos val="r"/>
        <c:numFmt formatCode="0%" sourceLinked="1"/>
        <c:majorTickMark val="cross"/>
        <c:minorTickMark val="none"/>
        <c:tickLblPos val="nextTo"/>
        <c:crossAx val="115487104"/>
        <c:crosses val="max"/>
        <c:crossBetween val="between"/>
      </c:valAx>
      <c:catAx>
        <c:axId val="115487104"/>
        <c:scaling>
          <c:orientation val="minMax"/>
        </c:scaling>
        <c:delete val="1"/>
        <c:axPos val="b"/>
        <c:numFmt formatCode="General" sourceLinked="1"/>
        <c:majorTickMark val="out"/>
        <c:minorTickMark val="none"/>
        <c:tickLblPos val="none"/>
        <c:crossAx val="115485312"/>
        <c:crosses val="autoZero"/>
        <c:auto val="1"/>
        <c:lblAlgn val="ctr"/>
        <c:lblOffset val="100"/>
        <c:noMultiLvlLbl val="0"/>
      </c:catAx>
      <c:spPr>
        <a:solidFill>
          <a:schemeClr val="bg1">
            <a:lumMod val="85000"/>
          </a:schemeClr>
        </a:solidFill>
        <a:ln>
          <a:solidFill>
            <a:prstClr val="black"/>
          </a:solidFill>
        </a:ln>
      </c:spPr>
    </c:plotArea>
    <c:legend>
      <c:legendPos val="b"/>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'MH-60R CVW 10 Plane 18 Crew'!$A$19</c:f>
              <c:strCache>
                <c:ptCount val="1"/>
                <c:pt idx="0">
                  <c:v>% of T&amp;R Matrix</c:v>
                </c:pt>
              </c:strCache>
            </c:strRef>
          </c:tx>
          <c:spPr>
            <a:ln>
              <a:solidFill>
                <a:schemeClr val="tx1"/>
              </a:solidFill>
            </a:ln>
          </c:spPr>
          <c:invertIfNegative val="0"/>
          <c:dPt>
            <c:idx val="0"/>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1-0355-449A-8609-1BAACAF5780A}"/>
              </c:ext>
            </c:extLst>
          </c:dPt>
          <c:dPt>
            <c:idx val="1"/>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3-0355-449A-8609-1BAACAF5780A}"/>
              </c:ext>
            </c:extLst>
          </c:dPt>
          <c:dPt>
            <c:idx val="2"/>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5-0355-449A-8609-1BAACAF5780A}"/>
              </c:ext>
            </c:extLst>
          </c:dPt>
          <c:dPt>
            <c:idx val="3"/>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7-0355-449A-8609-1BAACAF5780A}"/>
              </c:ext>
            </c:extLst>
          </c:dPt>
          <c:dPt>
            <c:idx val="4"/>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9-0355-449A-8609-1BAACAF5780A}"/>
              </c:ext>
            </c:extLst>
          </c:dPt>
          <c:dPt>
            <c:idx val="5"/>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B-0355-449A-8609-1BAACAF5780A}"/>
              </c:ext>
            </c:extLst>
          </c:dPt>
          <c:dPt>
            <c:idx val="6"/>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D-0355-449A-8609-1BAACAF5780A}"/>
              </c:ext>
            </c:extLst>
          </c:dPt>
          <c:dPt>
            <c:idx val="7"/>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F-0355-449A-8609-1BAACAF5780A}"/>
              </c:ext>
            </c:extLst>
          </c:dPt>
          <c:dPt>
            <c:idx val="8"/>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11-0355-449A-8609-1BAACAF5780A}"/>
              </c:ext>
            </c:extLst>
          </c:dPt>
          <c:dPt>
            <c:idx val="9"/>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3-0355-449A-8609-1BAACAF5780A}"/>
              </c:ext>
            </c:extLst>
          </c:dPt>
          <c:dPt>
            <c:idx val="10"/>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5-0355-449A-8609-1BAACAF5780A}"/>
              </c:ext>
            </c:extLst>
          </c:dPt>
          <c:dPt>
            <c:idx val="11"/>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7-0355-449A-8609-1BAACAF5780A}"/>
              </c:ext>
            </c:extLst>
          </c:dPt>
          <c:dPt>
            <c:idx val="1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9-0355-449A-8609-1BAACAF5780A}"/>
              </c:ext>
            </c:extLst>
          </c:dPt>
          <c:dPt>
            <c:idx val="1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B-0355-449A-8609-1BAACAF5780A}"/>
              </c:ext>
            </c:extLst>
          </c:dPt>
          <c:dPt>
            <c:idx val="1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D-0355-449A-8609-1BAACAF5780A}"/>
              </c:ext>
            </c:extLst>
          </c:dPt>
          <c:dPt>
            <c:idx val="1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F-0355-449A-8609-1BAACAF5780A}"/>
              </c:ext>
            </c:extLst>
          </c:dPt>
          <c:dPt>
            <c:idx val="16"/>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1-0355-449A-8609-1BAACAF5780A}"/>
              </c:ext>
            </c:extLst>
          </c:dPt>
          <c:dPt>
            <c:idx val="17"/>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3-0355-449A-8609-1BAACAF5780A}"/>
              </c:ext>
            </c:extLst>
          </c:dPt>
          <c:dPt>
            <c:idx val="18"/>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5-0355-449A-8609-1BAACAF5780A}"/>
              </c:ext>
            </c:extLst>
          </c:dPt>
          <c:dPt>
            <c:idx val="19"/>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7-0355-449A-8609-1BAACAF5780A}"/>
              </c:ext>
            </c:extLst>
          </c:dPt>
          <c:dPt>
            <c:idx val="20"/>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9-0355-449A-8609-1BAACAF5780A}"/>
              </c:ext>
            </c:extLst>
          </c:dPt>
          <c:dPt>
            <c:idx val="21"/>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B-0355-449A-8609-1BAACAF5780A}"/>
              </c:ext>
            </c:extLst>
          </c:dPt>
          <c:dPt>
            <c:idx val="2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D-0355-449A-8609-1BAACAF5780A}"/>
              </c:ext>
            </c:extLst>
          </c:dPt>
          <c:dPt>
            <c:idx val="2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F-0355-449A-8609-1BAACAF5780A}"/>
              </c:ext>
            </c:extLst>
          </c:dPt>
          <c:dPt>
            <c:idx val="2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1-0355-449A-8609-1BAACAF5780A}"/>
              </c:ext>
            </c:extLst>
          </c:dPt>
          <c:dPt>
            <c:idx val="2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3-0355-449A-8609-1BAACAF5780A}"/>
              </c:ext>
            </c:extLst>
          </c:dPt>
          <c:dPt>
            <c:idx val="26"/>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5-0355-449A-8609-1BAACAF5780A}"/>
              </c:ext>
            </c:extLst>
          </c:dPt>
          <c:cat>
            <c:strRef>
              <c:f>'MH-60R CVW 10 Plane 18 Crew'!$B$14:$AB$14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CVW 10 Plane 18 Crew'!$B$19:$AB$19</c:f>
              <c:numCache>
                <c:formatCode>0%</c:formatCode>
                <c:ptCount val="27"/>
                <c:pt idx="0">
                  <c:v>0.5</c:v>
                </c:pt>
                <c:pt idx="1">
                  <c:v>0.5</c:v>
                </c:pt>
                <c:pt idx="2">
                  <c:v>0.5</c:v>
                </c:pt>
                <c:pt idx="3">
                  <c:v>0.5</c:v>
                </c:pt>
                <c:pt idx="4">
                  <c:v>0.5</c:v>
                </c:pt>
                <c:pt idx="5">
                  <c:v>0.5</c:v>
                </c:pt>
                <c:pt idx="6">
                  <c:v>0.55000000000000004</c:v>
                </c:pt>
                <c:pt idx="7">
                  <c:v>0.6</c:v>
                </c:pt>
                <c:pt idx="8">
                  <c:v>0.65</c:v>
                </c:pt>
                <c:pt idx="9">
                  <c:v>0.7</c:v>
                </c:pt>
                <c:pt idx="10">
                  <c:v>0.7</c:v>
                </c:pt>
                <c:pt idx="11">
                  <c:v>0.7</c:v>
                </c:pt>
                <c:pt idx="12">
                  <c:v>0.7</c:v>
                </c:pt>
                <c:pt idx="13">
                  <c:v>0.7</c:v>
                </c:pt>
                <c:pt idx="14">
                  <c:v>0.7</c:v>
                </c:pt>
                <c:pt idx="15">
                  <c:v>0.4</c:v>
                </c:pt>
                <c:pt idx="16">
                  <c:v>0.8</c:v>
                </c:pt>
                <c:pt idx="17">
                  <c:v>0.8</c:v>
                </c:pt>
                <c:pt idx="18">
                  <c:v>0.8</c:v>
                </c:pt>
                <c:pt idx="19">
                  <c:v>0.8</c:v>
                </c:pt>
                <c:pt idx="20">
                  <c:v>0.8</c:v>
                </c:pt>
                <c:pt idx="21">
                  <c:v>0.7</c:v>
                </c:pt>
                <c:pt idx="22">
                  <c:v>0.4</c:v>
                </c:pt>
                <c:pt idx="23">
                  <c:v>0.6</c:v>
                </c:pt>
                <c:pt idx="24">
                  <c:v>0.6</c:v>
                </c:pt>
                <c:pt idx="25">
                  <c:v>0.6</c:v>
                </c:pt>
                <c:pt idx="26">
                  <c:v>0.6</c:v>
                </c:pt>
              </c:numCache>
            </c:numRef>
          </c:val>
          <c:extLst>
            <c:ext xmlns:c16="http://schemas.microsoft.com/office/drawing/2014/chart" uri="{C3380CC4-5D6E-409C-BE32-E72D297353CC}">
              <c16:uniqueId val="{00000036-0355-449A-8609-1BAACAF5780A}"/>
            </c:ext>
          </c:extLst>
        </c:ser>
        <c:dLbls>
          <c:showLegendKey val="0"/>
          <c:showVal val="0"/>
          <c:showCatName val="0"/>
          <c:showSerName val="0"/>
          <c:showPercent val="0"/>
          <c:showBubbleSize val="0"/>
        </c:dLbls>
        <c:gapWidth val="150"/>
        <c:axId val="115487104"/>
        <c:axId val="115485312"/>
      </c:barChart>
      <c:lineChart>
        <c:grouping val="standard"/>
        <c:varyColors val="0"/>
        <c:ser>
          <c:idx val="1"/>
          <c:order val="1"/>
          <c:tx>
            <c:strRef>
              <c:f>'MH-60R CVW 10 Plane 18 Crew'!$A$18</c:f>
              <c:strCache>
                <c:ptCount val="1"/>
                <c:pt idx="0">
                  <c:v>Average Training Readiness (ATR) Standard</c:v>
                </c:pt>
              </c:strCache>
            </c:strRef>
          </c:tx>
          <c:spPr>
            <a:ln>
              <a:solidFill>
                <a:srgbClr val="00CC00"/>
              </a:solidFill>
            </a:ln>
          </c:spPr>
          <c:marker>
            <c:symbol val="none"/>
          </c:marker>
          <c:cat>
            <c:strRef>
              <c:f>'MH-60R CVW 10 Plane 18 Crew'!$B$14:$AB$14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CVW 10 Plane 18 Crew'!$B$18:$AB$18</c:f>
              <c:numCache>
                <c:formatCode>0.00</c:formatCode>
                <c:ptCount val="27"/>
                <c:pt idx="0">
                  <c:v>5</c:v>
                </c:pt>
                <c:pt idx="1">
                  <c:v>5</c:v>
                </c:pt>
                <c:pt idx="2">
                  <c:v>5</c:v>
                </c:pt>
                <c:pt idx="3">
                  <c:v>5</c:v>
                </c:pt>
                <c:pt idx="4">
                  <c:v>5</c:v>
                </c:pt>
                <c:pt idx="5">
                  <c:v>5</c:v>
                </c:pt>
                <c:pt idx="6">
                  <c:v>5</c:v>
                </c:pt>
                <c:pt idx="7">
                  <c:v>20</c:v>
                </c:pt>
                <c:pt idx="8">
                  <c:v>42</c:v>
                </c:pt>
                <c:pt idx="9">
                  <c:v>60</c:v>
                </c:pt>
                <c:pt idx="10">
                  <c:v>70</c:v>
                </c:pt>
                <c:pt idx="11">
                  <c:v>70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numCache>
            </c:numRef>
          </c:val>
          <c:smooth val="0"/>
          <c:extLst>
            <c:ext xmlns:c16="http://schemas.microsoft.com/office/drawing/2014/chart" uri="{C3380CC4-5D6E-409C-BE32-E72D297353CC}">
              <c16:uniqueId val="{00000037-0355-449A-8609-1BAACAF5780A}"/>
            </c:ext>
          </c:extLst>
        </c:ser>
        <c:dLbls>
          <c:showLegendKey val="0"/>
          <c:showVal val="0"/>
          <c:showCatName val="0"/>
          <c:showSerName val="0"/>
          <c:showPercent val="0"/>
          <c:showBubbleSize val="0"/>
        </c:dLbls>
        <c:marker val="1"/>
        <c:smooth val="0"/>
        <c:axId val="115457408"/>
        <c:axId val="115483776"/>
      </c:lineChart>
      <c:catAx>
        <c:axId val="115457408"/>
        <c:scaling>
          <c:orientation val="minMax"/>
        </c:scaling>
        <c:delete val="0"/>
        <c:axPos val="b"/>
        <c:numFmt formatCode="General" sourceLinked="0"/>
        <c:majorTickMark val="out"/>
        <c:minorTickMark val="none"/>
        <c:tickLblPos val="nextTo"/>
        <c:crossAx val="115483776"/>
        <c:crosses val="autoZero"/>
        <c:auto val="1"/>
        <c:lblAlgn val="ctr"/>
        <c:lblOffset val="100"/>
        <c:noMultiLvlLbl val="0"/>
      </c:catAx>
      <c:valAx>
        <c:axId val="115483776"/>
        <c:scaling>
          <c:orientation val="minMax"/>
          <c:max val="100"/>
        </c:scaling>
        <c:delete val="0"/>
        <c:axPos val="l"/>
        <c:numFmt formatCode="0" sourceLinked="0"/>
        <c:majorTickMark val="cross"/>
        <c:minorTickMark val="none"/>
        <c:tickLblPos val="nextTo"/>
        <c:crossAx val="115457408"/>
        <c:crosses val="autoZero"/>
        <c:crossBetween val="between"/>
      </c:valAx>
      <c:valAx>
        <c:axId val="115485312"/>
        <c:scaling>
          <c:orientation val="minMax"/>
          <c:max val="1"/>
        </c:scaling>
        <c:delete val="0"/>
        <c:axPos val="r"/>
        <c:numFmt formatCode="0%" sourceLinked="1"/>
        <c:majorTickMark val="cross"/>
        <c:minorTickMark val="none"/>
        <c:tickLblPos val="nextTo"/>
        <c:crossAx val="115487104"/>
        <c:crosses val="max"/>
        <c:crossBetween val="between"/>
      </c:valAx>
      <c:catAx>
        <c:axId val="115487104"/>
        <c:scaling>
          <c:orientation val="minMax"/>
        </c:scaling>
        <c:delete val="1"/>
        <c:axPos val="b"/>
        <c:numFmt formatCode="General" sourceLinked="1"/>
        <c:majorTickMark val="out"/>
        <c:minorTickMark val="none"/>
        <c:tickLblPos val="none"/>
        <c:crossAx val="115485312"/>
        <c:crosses val="autoZero"/>
        <c:auto val="1"/>
        <c:lblAlgn val="ctr"/>
        <c:lblOffset val="100"/>
        <c:noMultiLvlLbl val="0"/>
      </c:catAx>
      <c:spPr>
        <a:solidFill>
          <a:schemeClr val="bg1">
            <a:lumMod val="85000"/>
          </a:schemeClr>
        </a:solidFill>
        <a:ln>
          <a:solidFill>
            <a:prstClr val="black"/>
          </a:solidFill>
        </a:ln>
      </c:spPr>
    </c:plotArea>
    <c:legend>
      <c:legendPos val="b"/>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'MH-60R EXP 1 Plane-2 Crew DRRS'!$A$19</c:f>
              <c:strCache>
                <c:ptCount val="1"/>
                <c:pt idx="0">
                  <c:v>% of T&amp;R Matrix</c:v>
                </c:pt>
              </c:strCache>
            </c:strRef>
          </c:tx>
          <c:spPr>
            <a:ln>
              <a:solidFill>
                <a:schemeClr val="tx1"/>
              </a:solidFill>
            </a:ln>
          </c:spPr>
          <c:invertIfNegative val="0"/>
          <c:dPt>
            <c:idx val="0"/>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1-4583-4AEC-BCB8-90B3229F0C8D}"/>
              </c:ext>
            </c:extLst>
          </c:dPt>
          <c:dPt>
            <c:idx val="1"/>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3-4583-4AEC-BCB8-90B3229F0C8D}"/>
              </c:ext>
            </c:extLst>
          </c:dPt>
          <c:dPt>
            <c:idx val="2"/>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5-4583-4AEC-BCB8-90B3229F0C8D}"/>
              </c:ext>
            </c:extLst>
          </c:dPt>
          <c:dPt>
            <c:idx val="3"/>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7-4583-4AEC-BCB8-90B3229F0C8D}"/>
              </c:ext>
            </c:extLst>
          </c:dPt>
          <c:dPt>
            <c:idx val="4"/>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9-4583-4AEC-BCB8-90B3229F0C8D}"/>
              </c:ext>
            </c:extLst>
          </c:dPt>
          <c:dPt>
            <c:idx val="5"/>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B-4583-4AEC-BCB8-90B3229F0C8D}"/>
              </c:ext>
            </c:extLst>
          </c:dPt>
          <c:dPt>
            <c:idx val="6"/>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D-4583-4AEC-BCB8-90B3229F0C8D}"/>
              </c:ext>
            </c:extLst>
          </c:dPt>
          <c:dPt>
            <c:idx val="7"/>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F-4583-4AEC-BCB8-90B3229F0C8D}"/>
              </c:ext>
            </c:extLst>
          </c:dPt>
          <c:dPt>
            <c:idx val="8"/>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11-4583-4AEC-BCB8-90B3229F0C8D}"/>
              </c:ext>
            </c:extLst>
          </c:dPt>
          <c:dPt>
            <c:idx val="9"/>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3-4583-4AEC-BCB8-90B3229F0C8D}"/>
              </c:ext>
            </c:extLst>
          </c:dPt>
          <c:dPt>
            <c:idx val="10"/>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5-4583-4AEC-BCB8-90B3229F0C8D}"/>
              </c:ext>
            </c:extLst>
          </c:dPt>
          <c:dPt>
            <c:idx val="11"/>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7-4583-4AEC-BCB8-90B3229F0C8D}"/>
              </c:ext>
            </c:extLst>
          </c:dPt>
          <c:dPt>
            <c:idx val="1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9-4583-4AEC-BCB8-90B3229F0C8D}"/>
              </c:ext>
            </c:extLst>
          </c:dPt>
          <c:dPt>
            <c:idx val="1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B-4583-4AEC-BCB8-90B3229F0C8D}"/>
              </c:ext>
            </c:extLst>
          </c:dPt>
          <c:dPt>
            <c:idx val="1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D-4583-4AEC-BCB8-90B3229F0C8D}"/>
              </c:ext>
            </c:extLst>
          </c:dPt>
          <c:dPt>
            <c:idx val="1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F-4583-4AEC-BCB8-90B3229F0C8D}"/>
              </c:ext>
            </c:extLst>
          </c:dPt>
          <c:dPt>
            <c:idx val="16"/>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1-4583-4AEC-BCB8-90B3229F0C8D}"/>
              </c:ext>
            </c:extLst>
          </c:dPt>
          <c:dPt>
            <c:idx val="17"/>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3-4583-4AEC-BCB8-90B3229F0C8D}"/>
              </c:ext>
            </c:extLst>
          </c:dPt>
          <c:dPt>
            <c:idx val="18"/>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5-4583-4AEC-BCB8-90B3229F0C8D}"/>
              </c:ext>
            </c:extLst>
          </c:dPt>
          <c:dPt>
            <c:idx val="19"/>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7-4583-4AEC-BCB8-90B3229F0C8D}"/>
              </c:ext>
            </c:extLst>
          </c:dPt>
          <c:dPt>
            <c:idx val="20"/>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9-4583-4AEC-BCB8-90B3229F0C8D}"/>
              </c:ext>
            </c:extLst>
          </c:dPt>
          <c:dPt>
            <c:idx val="21"/>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B-4583-4AEC-BCB8-90B3229F0C8D}"/>
              </c:ext>
            </c:extLst>
          </c:dPt>
          <c:dPt>
            <c:idx val="2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D-4583-4AEC-BCB8-90B3229F0C8D}"/>
              </c:ext>
            </c:extLst>
          </c:dPt>
          <c:dPt>
            <c:idx val="2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F-4583-4AEC-BCB8-90B3229F0C8D}"/>
              </c:ext>
            </c:extLst>
          </c:dPt>
          <c:dPt>
            <c:idx val="2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1-4583-4AEC-BCB8-90B3229F0C8D}"/>
              </c:ext>
            </c:extLst>
          </c:dPt>
          <c:dPt>
            <c:idx val="2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3-4583-4AEC-BCB8-90B3229F0C8D}"/>
              </c:ext>
            </c:extLst>
          </c:dPt>
          <c:dPt>
            <c:idx val="26"/>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5-4583-4AEC-BCB8-90B3229F0C8D}"/>
              </c:ext>
            </c:extLst>
          </c:dPt>
          <c:cat>
            <c:strRef>
              <c:f>'MH-60R EXP 1 Plane-2 Crew DRRS'!$B$14:$AB$14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EXP 1 Plane-2 Crew DRRS'!$B$19:$AB$19</c:f>
              <c:numCache>
                <c:formatCode>0%</c:formatCode>
                <c:ptCount val="27"/>
                <c:pt idx="0">
                  <c:v>0.5</c:v>
                </c:pt>
                <c:pt idx="1">
                  <c:v>0.5</c:v>
                </c:pt>
                <c:pt idx="2">
                  <c:v>0.5</c:v>
                </c:pt>
                <c:pt idx="3">
                  <c:v>0.5</c:v>
                </c:pt>
                <c:pt idx="4">
                  <c:v>0.5</c:v>
                </c:pt>
                <c:pt idx="5">
                  <c:v>0.5</c:v>
                </c:pt>
                <c:pt idx="6">
                  <c:v>0.55000000000000004</c:v>
                </c:pt>
                <c:pt idx="7">
                  <c:v>0.6</c:v>
                </c:pt>
                <c:pt idx="8">
                  <c:v>0.65</c:v>
                </c:pt>
                <c:pt idx="9">
                  <c:v>0.7</c:v>
                </c:pt>
                <c:pt idx="10">
                  <c:v>0.7</c:v>
                </c:pt>
                <c:pt idx="11">
                  <c:v>0.7</c:v>
                </c:pt>
                <c:pt idx="12">
                  <c:v>0.7</c:v>
                </c:pt>
                <c:pt idx="13">
                  <c:v>0.7</c:v>
                </c:pt>
                <c:pt idx="14">
                  <c:v>0.7</c:v>
                </c:pt>
                <c:pt idx="15">
                  <c:v>0.4</c:v>
                </c:pt>
                <c:pt idx="16">
                  <c:v>0.8</c:v>
                </c:pt>
                <c:pt idx="17">
                  <c:v>0.8</c:v>
                </c:pt>
                <c:pt idx="18">
                  <c:v>0.8</c:v>
                </c:pt>
                <c:pt idx="19">
                  <c:v>0.8</c:v>
                </c:pt>
                <c:pt idx="20">
                  <c:v>0.8</c:v>
                </c:pt>
                <c:pt idx="21">
                  <c:v>0.7</c:v>
                </c:pt>
                <c:pt idx="22">
                  <c:v>0.4</c:v>
                </c:pt>
                <c:pt idx="23">
                  <c:v>0.6</c:v>
                </c:pt>
                <c:pt idx="24">
                  <c:v>0.6</c:v>
                </c:pt>
                <c:pt idx="25">
                  <c:v>0.6</c:v>
                </c:pt>
                <c:pt idx="26">
                  <c:v>0.6</c:v>
                </c:pt>
              </c:numCache>
            </c:numRef>
          </c:val>
          <c:extLst>
            <c:ext xmlns:c16="http://schemas.microsoft.com/office/drawing/2014/chart" uri="{C3380CC4-5D6E-409C-BE32-E72D297353CC}">
              <c16:uniqueId val="{00000036-4583-4AEC-BCB8-90B3229F0C8D}"/>
            </c:ext>
          </c:extLst>
        </c:ser>
        <c:dLbls>
          <c:showLegendKey val="0"/>
          <c:showVal val="0"/>
          <c:showCatName val="0"/>
          <c:showSerName val="0"/>
          <c:showPercent val="0"/>
          <c:showBubbleSize val="0"/>
        </c:dLbls>
        <c:gapWidth val="150"/>
        <c:axId val="171156992"/>
        <c:axId val="171155456"/>
      </c:barChart>
      <c:lineChart>
        <c:grouping val="standard"/>
        <c:varyColors val="0"/>
        <c:ser>
          <c:idx val="1"/>
          <c:order val="1"/>
          <c:tx>
            <c:strRef>
              <c:f>'MH-60R EXP 1 Plane-2 Crew DRRS'!$A$18</c:f>
              <c:strCache>
                <c:ptCount val="1"/>
                <c:pt idx="0">
                  <c:v>Average Training Readiness (ATR) Standard</c:v>
                </c:pt>
              </c:strCache>
            </c:strRef>
          </c:tx>
          <c:spPr>
            <a:ln>
              <a:solidFill>
                <a:srgbClr val="00CC00"/>
              </a:solidFill>
            </a:ln>
          </c:spPr>
          <c:marker>
            <c:symbol val="none"/>
          </c:marker>
          <c:cat>
            <c:strRef>
              <c:f>'MH-60R EXP 1 Plane-2 Crew DRRS'!$B$14:$AB$14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EXP 1 Plane-2 Crew DRRS'!$B$18:$AB$18</c:f>
              <c:numCache>
                <c:formatCode>0.00</c:formatCode>
                <c:ptCount val="27"/>
                <c:pt idx="0">
                  <c:v>5</c:v>
                </c:pt>
                <c:pt idx="1">
                  <c:v>5</c:v>
                </c:pt>
                <c:pt idx="2">
                  <c:v>5</c:v>
                </c:pt>
                <c:pt idx="3">
                  <c:v>5</c:v>
                </c:pt>
                <c:pt idx="4">
                  <c:v>5</c:v>
                </c:pt>
                <c:pt idx="5">
                  <c:v>5</c:v>
                </c:pt>
                <c:pt idx="6">
                  <c:v>5</c:v>
                </c:pt>
                <c:pt idx="7">
                  <c:v>20</c:v>
                </c:pt>
                <c:pt idx="8">
                  <c:v>42</c:v>
                </c:pt>
                <c:pt idx="9">
                  <c:v>60</c:v>
                </c:pt>
                <c:pt idx="10">
                  <c:v>70</c:v>
                </c:pt>
                <c:pt idx="11">
                  <c:v>70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numCache>
            </c:numRef>
          </c:val>
          <c:smooth val="0"/>
          <c:extLst>
            <c:ext xmlns:c16="http://schemas.microsoft.com/office/drawing/2014/chart" uri="{C3380CC4-5D6E-409C-BE32-E72D297353CC}">
              <c16:uniqueId val="{00000037-4583-4AEC-BCB8-90B3229F0C8D}"/>
            </c:ext>
          </c:extLst>
        </c:ser>
        <c:dLbls>
          <c:showLegendKey val="0"/>
          <c:showVal val="0"/>
          <c:showCatName val="0"/>
          <c:showSerName val="0"/>
          <c:showPercent val="0"/>
          <c:showBubbleSize val="0"/>
        </c:dLbls>
        <c:marker val="1"/>
        <c:smooth val="0"/>
        <c:axId val="170919424"/>
        <c:axId val="170921344"/>
      </c:lineChart>
      <c:catAx>
        <c:axId val="170919424"/>
        <c:scaling>
          <c:orientation val="minMax"/>
        </c:scaling>
        <c:delete val="0"/>
        <c:axPos val="b"/>
        <c:numFmt formatCode="General" sourceLinked="0"/>
        <c:majorTickMark val="out"/>
        <c:minorTickMark val="none"/>
        <c:tickLblPos val="nextTo"/>
        <c:crossAx val="170921344"/>
        <c:crosses val="autoZero"/>
        <c:auto val="1"/>
        <c:lblAlgn val="ctr"/>
        <c:lblOffset val="100"/>
        <c:noMultiLvlLbl val="0"/>
      </c:catAx>
      <c:valAx>
        <c:axId val="170921344"/>
        <c:scaling>
          <c:orientation val="minMax"/>
          <c:max val="100"/>
        </c:scaling>
        <c:delete val="0"/>
        <c:axPos val="l"/>
        <c:numFmt formatCode="0" sourceLinked="0"/>
        <c:majorTickMark val="cross"/>
        <c:minorTickMark val="none"/>
        <c:tickLblPos val="nextTo"/>
        <c:crossAx val="170919424"/>
        <c:crosses val="autoZero"/>
        <c:crossBetween val="between"/>
      </c:valAx>
      <c:valAx>
        <c:axId val="171155456"/>
        <c:scaling>
          <c:orientation val="minMax"/>
          <c:max val="1"/>
        </c:scaling>
        <c:delete val="0"/>
        <c:axPos val="r"/>
        <c:numFmt formatCode="0%" sourceLinked="1"/>
        <c:majorTickMark val="cross"/>
        <c:minorTickMark val="none"/>
        <c:tickLblPos val="nextTo"/>
        <c:crossAx val="171156992"/>
        <c:crosses val="max"/>
        <c:crossBetween val="between"/>
      </c:valAx>
      <c:catAx>
        <c:axId val="171156992"/>
        <c:scaling>
          <c:orientation val="minMax"/>
        </c:scaling>
        <c:delete val="1"/>
        <c:axPos val="b"/>
        <c:numFmt formatCode="General" sourceLinked="1"/>
        <c:majorTickMark val="out"/>
        <c:minorTickMark val="none"/>
        <c:tickLblPos val="none"/>
        <c:crossAx val="171155456"/>
        <c:crosses val="autoZero"/>
        <c:auto val="1"/>
        <c:lblAlgn val="ctr"/>
        <c:lblOffset val="100"/>
        <c:noMultiLvlLbl val="0"/>
      </c:catAx>
      <c:spPr>
        <a:solidFill>
          <a:schemeClr val="bg1">
            <a:lumMod val="85000"/>
          </a:schemeClr>
        </a:solidFill>
        <a:ln>
          <a:solidFill>
            <a:prstClr val="black"/>
          </a:solidFill>
        </a:ln>
      </c:spPr>
    </c:plotArea>
    <c:legend>
      <c:legendPos val="b"/>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'MH-60R EXP 2 Plane-3 Crew DRRS'!$A$19</c:f>
              <c:strCache>
                <c:ptCount val="1"/>
                <c:pt idx="0">
                  <c:v>% of T&amp;R Matrix</c:v>
                </c:pt>
              </c:strCache>
            </c:strRef>
          </c:tx>
          <c:spPr>
            <a:ln>
              <a:solidFill>
                <a:schemeClr val="tx1"/>
              </a:solidFill>
            </a:ln>
          </c:spPr>
          <c:invertIfNegative val="0"/>
          <c:dPt>
            <c:idx val="0"/>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1-72BD-4938-93DF-62521535B260}"/>
              </c:ext>
            </c:extLst>
          </c:dPt>
          <c:dPt>
            <c:idx val="1"/>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3-72BD-4938-93DF-62521535B260}"/>
              </c:ext>
            </c:extLst>
          </c:dPt>
          <c:dPt>
            <c:idx val="2"/>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5-72BD-4938-93DF-62521535B260}"/>
              </c:ext>
            </c:extLst>
          </c:dPt>
          <c:dPt>
            <c:idx val="3"/>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7-72BD-4938-93DF-62521535B260}"/>
              </c:ext>
            </c:extLst>
          </c:dPt>
          <c:dPt>
            <c:idx val="4"/>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9-72BD-4938-93DF-62521535B260}"/>
              </c:ext>
            </c:extLst>
          </c:dPt>
          <c:dPt>
            <c:idx val="5"/>
            <c:invertIfNegative val="0"/>
            <c:bubble3D val="0"/>
            <c:spPr>
              <a:gradFill>
                <a:gsLst>
                  <a:gs pos="0">
                    <a:srgbClr val="767600"/>
                  </a:gs>
                  <a:gs pos="50000">
                    <a:srgbClr val="FFFF00"/>
                  </a:gs>
                  <a:gs pos="100000">
                    <a:srgbClr val="767600"/>
                  </a:gs>
                </a:gsLst>
                <a:lin ang="5400000" scaled="1"/>
              </a:gradFill>
              <a:ln>
                <a:solidFill>
                  <a:schemeClr val="tx1"/>
                </a:solidFill>
              </a:ln>
            </c:spPr>
            <c:extLst>
              <c:ext xmlns:c16="http://schemas.microsoft.com/office/drawing/2014/chart" uri="{C3380CC4-5D6E-409C-BE32-E72D297353CC}">
                <c16:uniqueId val="{0000000B-72BD-4938-93DF-62521535B260}"/>
              </c:ext>
            </c:extLst>
          </c:dPt>
          <c:dPt>
            <c:idx val="6"/>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D-72BD-4938-93DF-62521535B260}"/>
              </c:ext>
            </c:extLst>
          </c:dPt>
          <c:dPt>
            <c:idx val="7"/>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0F-72BD-4938-93DF-62521535B260}"/>
              </c:ext>
            </c:extLst>
          </c:dPt>
          <c:dPt>
            <c:idx val="8"/>
            <c:invertIfNegative val="0"/>
            <c:bubble3D val="0"/>
            <c:spPr>
              <a:gradFill>
                <a:gsLst>
                  <a:gs pos="0">
                    <a:srgbClr val="595959"/>
                  </a:gs>
                  <a:gs pos="50000">
                    <a:srgbClr val="C0C0C0"/>
                  </a:gs>
                  <a:gs pos="100000">
                    <a:srgbClr val="595959"/>
                  </a:gs>
                </a:gsLst>
                <a:lin ang="5400000" scaled="1"/>
              </a:gradFill>
              <a:ln>
                <a:solidFill>
                  <a:schemeClr val="tx1"/>
                </a:solidFill>
              </a:ln>
            </c:spPr>
            <c:extLst>
              <c:ext xmlns:c16="http://schemas.microsoft.com/office/drawing/2014/chart" uri="{C3380CC4-5D6E-409C-BE32-E72D297353CC}">
                <c16:uniqueId val="{00000011-72BD-4938-93DF-62521535B260}"/>
              </c:ext>
            </c:extLst>
          </c:dPt>
          <c:dPt>
            <c:idx val="9"/>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3-72BD-4938-93DF-62521535B260}"/>
              </c:ext>
            </c:extLst>
          </c:dPt>
          <c:dPt>
            <c:idx val="10"/>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5-72BD-4938-93DF-62521535B260}"/>
              </c:ext>
            </c:extLst>
          </c:dPt>
          <c:dPt>
            <c:idx val="11"/>
            <c:invertIfNegative val="0"/>
            <c:bubble3D val="0"/>
            <c:spPr>
              <a:gradFill>
                <a:gsLst>
                  <a:gs pos="0">
                    <a:srgbClr val="765E47"/>
                  </a:gs>
                  <a:gs pos="50000">
                    <a:srgbClr val="FFCC99"/>
                  </a:gs>
                  <a:gs pos="100000">
                    <a:srgbClr val="765E47"/>
                  </a:gs>
                </a:gsLst>
                <a:lin ang="5400000" scaled="1"/>
              </a:gradFill>
              <a:ln>
                <a:solidFill>
                  <a:schemeClr val="tx1"/>
                </a:solidFill>
              </a:ln>
            </c:spPr>
            <c:extLst>
              <c:ext xmlns:c16="http://schemas.microsoft.com/office/drawing/2014/chart" uri="{C3380CC4-5D6E-409C-BE32-E72D297353CC}">
                <c16:uniqueId val="{00000017-72BD-4938-93DF-62521535B260}"/>
              </c:ext>
            </c:extLst>
          </c:dPt>
          <c:dPt>
            <c:idx val="1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9-72BD-4938-93DF-62521535B260}"/>
              </c:ext>
            </c:extLst>
          </c:dPt>
          <c:dPt>
            <c:idx val="1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B-72BD-4938-93DF-62521535B260}"/>
              </c:ext>
            </c:extLst>
          </c:dPt>
          <c:dPt>
            <c:idx val="1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D-72BD-4938-93DF-62521535B260}"/>
              </c:ext>
            </c:extLst>
          </c:dPt>
          <c:dPt>
            <c:idx val="1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1F-72BD-4938-93DF-62521535B260}"/>
              </c:ext>
            </c:extLst>
          </c:dPt>
          <c:dPt>
            <c:idx val="16"/>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1-72BD-4938-93DF-62521535B260}"/>
              </c:ext>
            </c:extLst>
          </c:dPt>
          <c:dPt>
            <c:idx val="17"/>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3-72BD-4938-93DF-62521535B260}"/>
              </c:ext>
            </c:extLst>
          </c:dPt>
          <c:dPt>
            <c:idx val="18"/>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5-72BD-4938-93DF-62521535B260}"/>
              </c:ext>
            </c:extLst>
          </c:dPt>
          <c:dPt>
            <c:idx val="19"/>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7-72BD-4938-93DF-62521535B260}"/>
              </c:ext>
            </c:extLst>
          </c:dPt>
          <c:dPt>
            <c:idx val="20"/>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9-72BD-4938-93DF-62521535B260}"/>
              </c:ext>
            </c:extLst>
          </c:dPt>
          <c:dPt>
            <c:idx val="21"/>
            <c:invertIfNegative val="0"/>
            <c:bubble3D val="0"/>
            <c:spPr>
              <a:gradFill>
                <a:gsLst>
                  <a:gs pos="0">
                    <a:srgbClr val="007600"/>
                  </a:gs>
                  <a:gs pos="50000">
                    <a:srgbClr val="00FF00"/>
                  </a:gs>
                  <a:gs pos="100000">
                    <a:srgbClr val="007600"/>
                  </a:gs>
                </a:gsLst>
                <a:lin ang="5400000" scaled="1"/>
              </a:gradFill>
              <a:ln>
                <a:solidFill>
                  <a:schemeClr val="tx1"/>
                </a:solidFill>
              </a:ln>
            </c:spPr>
            <c:extLst>
              <c:ext xmlns:c16="http://schemas.microsoft.com/office/drawing/2014/chart" uri="{C3380CC4-5D6E-409C-BE32-E72D297353CC}">
                <c16:uniqueId val="{0000002B-72BD-4938-93DF-62521535B260}"/>
              </c:ext>
            </c:extLst>
          </c:dPt>
          <c:dPt>
            <c:idx val="22"/>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D-72BD-4938-93DF-62521535B260}"/>
              </c:ext>
            </c:extLst>
          </c:dPt>
          <c:dPt>
            <c:idx val="23"/>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2F-72BD-4938-93DF-62521535B260}"/>
              </c:ext>
            </c:extLst>
          </c:dPt>
          <c:dPt>
            <c:idx val="24"/>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1-72BD-4938-93DF-62521535B260}"/>
              </c:ext>
            </c:extLst>
          </c:dPt>
          <c:dPt>
            <c:idx val="25"/>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3-72BD-4938-93DF-62521535B260}"/>
              </c:ext>
            </c:extLst>
          </c:dPt>
          <c:dPt>
            <c:idx val="26"/>
            <c:invertIfNegative val="0"/>
            <c:bubble3D val="0"/>
            <c:spPr>
              <a:gradFill>
                <a:gsLst>
                  <a:gs pos="0">
                    <a:srgbClr val="5E4776"/>
                  </a:gs>
                  <a:gs pos="50000">
                    <a:srgbClr val="CC99FF"/>
                  </a:gs>
                  <a:gs pos="100000">
                    <a:srgbClr val="5E4776"/>
                  </a:gs>
                </a:gsLst>
                <a:lin ang="5400000" scaled="1"/>
              </a:gradFill>
              <a:ln>
                <a:solidFill>
                  <a:schemeClr val="tx1"/>
                </a:solidFill>
              </a:ln>
            </c:spPr>
            <c:extLst>
              <c:ext xmlns:c16="http://schemas.microsoft.com/office/drawing/2014/chart" uri="{C3380CC4-5D6E-409C-BE32-E72D297353CC}">
                <c16:uniqueId val="{00000035-72BD-4938-93DF-62521535B260}"/>
              </c:ext>
            </c:extLst>
          </c:dPt>
          <c:cat>
            <c:strRef>
              <c:f>'MH-60R EXP 2 Plane-3 Crew DRRS'!$B$14:$AB$14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EXP 2 Plane-3 Crew DRRS'!$B$19:$AB$19</c:f>
              <c:numCache>
                <c:formatCode>0%</c:formatCode>
                <c:ptCount val="27"/>
                <c:pt idx="0">
                  <c:v>0.5</c:v>
                </c:pt>
                <c:pt idx="1">
                  <c:v>0.5</c:v>
                </c:pt>
                <c:pt idx="2">
                  <c:v>0.5</c:v>
                </c:pt>
                <c:pt idx="3">
                  <c:v>0.5</c:v>
                </c:pt>
                <c:pt idx="4">
                  <c:v>0.5</c:v>
                </c:pt>
                <c:pt idx="5">
                  <c:v>0.5</c:v>
                </c:pt>
                <c:pt idx="6">
                  <c:v>0.55000000000000004</c:v>
                </c:pt>
                <c:pt idx="7">
                  <c:v>0.6</c:v>
                </c:pt>
                <c:pt idx="8">
                  <c:v>0.65</c:v>
                </c:pt>
                <c:pt idx="9">
                  <c:v>0.7</c:v>
                </c:pt>
                <c:pt idx="10">
                  <c:v>0.7</c:v>
                </c:pt>
                <c:pt idx="11">
                  <c:v>0.7</c:v>
                </c:pt>
                <c:pt idx="12">
                  <c:v>0.7</c:v>
                </c:pt>
                <c:pt idx="13">
                  <c:v>0.7</c:v>
                </c:pt>
                <c:pt idx="14">
                  <c:v>0.7</c:v>
                </c:pt>
                <c:pt idx="15">
                  <c:v>0.4</c:v>
                </c:pt>
                <c:pt idx="16">
                  <c:v>0.8</c:v>
                </c:pt>
                <c:pt idx="17">
                  <c:v>0.8</c:v>
                </c:pt>
                <c:pt idx="18">
                  <c:v>0.8</c:v>
                </c:pt>
                <c:pt idx="19">
                  <c:v>0.8</c:v>
                </c:pt>
                <c:pt idx="20">
                  <c:v>0.8</c:v>
                </c:pt>
                <c:pt idx="21">
                  <c:v>0.7</c:v>
                </c:pt>
                <c:pt idx="22">
                  <c:v>0.4</c:v>
                </c:pt>
                <c:pt idx="23">
                  <c:v>0.6</c:v>
                </c:pt>
                <c:pt idx="24">
                  <c:v>0.6</c:v>
                </c:pt>
                <c:pt idx="25">
                  <c:v>0.6</c:v>
                </c:pt>
                <c:pt idx="26">
                  <c:v>0.6</c:v>
                </c:pt>
              </c:numCache>
            </c:numRef>
          </c:val>
          <c:extLst>
            <c:ext xmlns:c16="http://schemas.microsoft.com/office/drawing/2014/chart" uri="{C3380CC4-5D6E-409C-BE32-E72D297353CC}">
              <c16:uniqueId val="{00000036-72BD-4938-93DF-62521535B260}"/>
            </c:ext>
          </c:extLst>
        </c:ser>
        <c:dLbls>
          <c:showLegendKey val="0"/>
          <c:showVal val="0"/>
          <c:showCatName val="0"/>
          <c:showSerName val="0"/>
          <c:showPercent val="0"/>
          <c:showBubbleSize val="0"/>
        </c:dLbls>
        <c:gapWidth val="150"/>
        <c:axId val="114881664"/>
        <c:axId val="114875776"/>
      </c:barChart>
      <c:lineChart>
        <c:grouping val="standard"/>
        <c:varyColors val="0"/>
        <c:ser>
          <c:idx val="1"/>
          <c:order val="1"/>
          <c:tx>
            <c:strRef>
              <c:f>'MH-60R EXP 2 Plane-3 Crew DRRS'!$A$18</c:f>
              <c:strCache>
                <c:ptCount val="1"/>
                <c:pt idx="0">
                  <c:v>Average Training Readiness (ATR) Standard</c:v>
                </c:pt>
              </c:strCache>
            </c:strRef>
          </c:tx>
          <c:spPr>
            <a:ln>
              <a:solidFill>
                <a:srgbClr val="00CC00"/>
              </a:solidFill>
            </a:ln>
          </c:spPr>
          <c:marker>
            <c:symbol val="none"/>
          </c:marker>
          <c:cat>
            <c:strRef>
              <c:f>'MH-60R EXP 2 Plane-3 Crew DRRS'!$B$14:$AB$14</c:f>
              <c:strCache>
                <c:ptCount val="27"/>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POM</c:v>
                </c:pt>
                <c:pt idx="16">
                  <c:v>D+1</c:v>
                </c:pt>
                <c:pt idx="17">
                  <c:v>D+2</c:v>
                </c:pt>
                <c:pt idx="18">
                  <c:v>D+3</c:v>
                </c:pt>
                <c:pt idx="19">
                  <c:v>D+4</c:v>
                </c:pt>
                <c:pt idx="20">
                  <c:v>D+5</c:v>
                </c:pt>
                <c:pt idx="21">
                  <c:v>D+6</c:v>
                </c:pt>
                <c:pt idx="22">
                  <c:v>PDL</c:v>
                </c:pt>
                <c:pt idx="23">
                  <c:v>R+24</c:v>
                </c:pt>
                <c:pt idx="24">
                  <c:v>R+25</c:v>
                </c:pt>
                <c:pt idx="25">
                  <c:v>R+26</c:v>
                </c:pt>
                <c:pt idx="26">
                  <c:v>R+27</c:v>
                </c:pt>
              </c:strCache>
            </c:strRef>
          </c:cat>
          <c:val>
            <c:numRef>
              <c:f>'MH-60R EXP 2 Plane-3 Crew DRRS'!$B$18:$AB$18</c:f>
              <c:numCache>
                <c:formatCode>0.00</c:formatCode>
                <c:ptCount val="27"/>
                <c:pt idx="0">
                  <c:v>5</c:v>
                </c:pt>
                <c:pt idx="1">
                  <c:v>5</c:v>
                </c:pt>
                <c:pt idx="2">
                  <c:v>5</c:v>
                </c:pt>
                <c:pt idx="3">
                  <c:v>5</c:v>
                </c:pt>
                <c:pt idx="4">
                  <c:v>5</c:v>
                </c:pt>
                <c:pt idx="5">
                  <c:v>5</c:v>
                </c:pt>
                <c:pt idx="6">
                  <c:v>5</c:v>
                </c:pt>
                <c:pt idx="7">
                  <c:v>20</c:v>
                </c:pt>
                <c:pt idx="8">
                  <c:v>42</c:v>
                </c:pt>
                <c:pt idx="9">
                  <c:v>60</c:v>
                </c:pt>
                <c:pt idx="10">
                  <c:v>70</c:v>
                </c:pt>
                <c:pt idx="11">
                  <c:v>70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numCache>
            </c:numRef>
          </c:val>
          <c:smooth val="0"/>
          <c:extLst>
            <c:ext xmlns:c16="http://schemas.microsoft.com/office/drawing/2014/chart" uri="{C3380CC4-5D6E-409C-BE32-E72D297353CC}">
              <c16:uniqueId val="{00000037-72BD-4938-93DF-62521535B260}"/>
            </c:ext>
          </c:extLst>
        </c:ser>
        <c:dLbls>
          <c:showLegendKey val="0"/>
          <c:showVal val="0"/>
          <c:showCatName val="0"/>
          <c:showSerName val="0"/>
          <c:showPercent val="0"/>
          <c:showBubbleSize val="0"/>
        </c:dLbls>
        <c:marker val="1"/>
        <c:smooth val="0"/>
        <c:axId val="114872704"/>
        <c:axId val="114874240"/>
      </c:lineChart>
      <c:catAx>
        <c:axId val="114872704"/>
        <c:scaling>
          <c:orientation val="minMax"/>
        </c:scaling>
        <c:delete val="0"/>
        <c:axPos val="b"/>
        <c:numFmt formatCode="General" sourceLinked="0"/>
        <c:majorTickMark val="out"/>
        <c:minorTickMark val="none"/>
        <c:tickLblPos val="nextTo"/>
        <c:crossAx val="114874240"/>
        <c:crosses val="autoZero"/>
        <c:auto val="1"/>
        <c:lblAlgn val="ctr"/>
        <c:lblOffset val="100"/>
        <c:noMultiLvlLbl val="0"/>
      </c:catAx>
      <c:valAx>
        <c:axId val="114874240"/>
        <c:scaling>
          <c:orientation val="minMax"/>
          <c:max val="100"/>
        </c:scaling>
        <c:delete val="0"/>
        <c:axPos val="l"/>
        <c:numFmt formatCode="0" sourceLinked="0"/>
        <c:majorTickMark val="cross"/>
        <c:minorTickMark val="none"/>
        <c:tickLblPos val="nextTo"/>
        <c:crossAx val="114872704"/>
        <c:crosses val="autoZero"/>
        <c:crossBetween val="between"/>
      </c:valAx>
      <c:valAx>
        <c:axId val="114875776"/>
        <c:scaling>
          <c:orientation val="minMax"/>
          <c:max val="1"/>
        </c:scaling>
        <c:delete val="0"/>
        <c:axPos val="r"/>
        <c:numFmt formatCode="0%" sourceLinked="1"/>
        <c:majorTickMark val="cross"/>
        <c:minorTickMark val="none"/>
        <c:tickLblPos val="nextTo"/>
        <c:crossAx val="114881664"/>
        <c:crosses val="max"/>
        <c:crossBetween val="between"/>
      </c:valAx>
      <c:catAx>
        <c:axId val="114881664"/>
        <c:scaling>
          <c:orientation val="minMax"/>
        </c:scaling>
        <c:delete val="1"/>
        <c:axPos val="b"/>
        <c:numFmt formatCode="General" sourceLinked="1"/>
        <c:majorTickMark val="out"/>
        <c:minorTickMark val="none"/>
        <c:tickLblPos val="none"/>
        <c:crossAx val="114875776"/>
        <c:crosses val="autoZero"/>
        <c:auto val="1"/>
        <c:lblAlgn val="ctr"/>
        <c:lblOffset val="100"/>
        <c:noMultiLvlLbl val="0"/>
      </c:catAx>
      <c:spPr>
        <a:solidFill>
          <a:schemeClr val="bg1">
            <a:lumMod val="85000"/>
          </a:schemeClr>
        </a:solidFill>
        <a:ln>
          <a:solidFill>
            <a:prstClr val="black"/>
          </a:solidFill>
        </a:ln>
      </c:spPr>
    </c:plotArea>
    <c:legend>
      <c:legendPos val="b"/>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44</xdr:col>
      <xdr:colOff>0</xdr:colOff>
      <xdr:row>12</xdr:row>
      <xdr:rowOff>0</xdr:rowOff>
    </xdr:from>
    <xdr:to>
      <xdr:col>56</xdr:col>
      <xdr:colOff>552450</xdr:colOff>
      <xdr:row>27</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12</xdr:row>
      <xdr:rowOff>0</xdr:rowOff>
    </xdr:from>
    <xdr:to>
      <xdr:col>56</xdr:col>
      <xdr:colOff>552450</xdr:colOff>
      <xdr:row>27</xdr:row>
      <xdr:rowOff>0</xdr:rowOff>
    </xdr:to>
    <xdr:graphicFrame macro="">
      <xdr:nvGraphicFramePr>
        <xdr:cNvPr id="2" name="Chart 1">
          <a:extLst>
            <a:ext uri="{FF2B5EF4-FFF2-40B4-BE49-F238E27FC236}">
              <a16:creationId xmlns:a16="http://schemas.microsoft.com/office/drawing/2014/main" id="{51E3105D-CD22-4E3F-B67E-CAEFD9860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44</xdr:col>
      <xdr:colOff>28575</xdr:colOff>
      <xdr:row>12</xdr:row>
      <xdr:rowOff>0</xdr:rowOff>
    </xdr:from>
    <xdr:to>
      <xdr:col>56</xdr:col>
      <xdr:colOff>581025</xdr:colOff>
      <xdr:row>26</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44</xdr:col>
      <xdr:colOff>0</xdr:colOff>
      <xdr:row>12</xdr:row>
      <xdr:rowOff>0</xdr:rowOff>
    </xdr:from>
    <xdr:to>
      <xdr:col>56</xdr:col>
      <xdr:colOff>552450</xdr:colOff>
      <xdr:row>27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anrfkfs18\nrfk$\WINNT\Temporary%20Internet%20Files\OLKE1\WORKSHEETS-%20RFT%20DATA\JUN%2005\VS32%20Jun05%20NAVRIIP.xls!VS%20(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anrfkfs18\nrfk$\WINNT\Temporary%20Internet%20Files\OLK1297\VS22%20OCT04%20NAVRIIP%20Worksheet.xls!VS%20(8)"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wespscfs02vb\cincpacflt\WINNT\Temporary%20Internet%20Files\OLKE1\WORKSHEETS-%20RFT%20DATA\JUN%2005\VS32%20Jun05%20NAVRIIP.xls!VS%20(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wespscfs02vb\cincpacflt\WINNT\Temporary%20Internet%20Files\OLK1297\VS22%20OCT04%20NAVRIIP%20Worksheet.xls!VS%20(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Temporary%20Internet%20Files\OLKE1\WORKSHEETS-%20RFT%20DATA\JUN%2005\VS32%20Jun05%20NAVRIIP.xls!VS%20(6)"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Temporary%20Internet%20Files\OLK1297\VS22%20OCT04%20NAVRIIP%20Worksheet.xls!VS%20(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Temporary%20Internet%20Files\OLKE1\MH60S%20DRAFT%20STANDARDS%202%20SEP%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awespscfs02vb\cincpacflt\WINNT\Temporary%20Internet%20Files\OLKE1\MH60S%20DRAFT%20STANDARDS%202%20SEP%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wesdnifs01va\CINCPACFLT$\WINNT\Temporary%20Internet%20Files\OLKE1\MH60S%20DRAFT%20STANDARDS%202%20SE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hyperlink" Target="https://flankspeed.sharepoint-mil.us.mcas-gov.us/sites/CPF-CNAP-HQ/N42/N422/SharedDocuments/Forms/AllItems.aspx?RootFolder=%2Fsites%2FCPF%2DCNAP%2DHQ%2FN42%2FN422%2FSharedDocuments%2FN422C%20NAMP%2FMESMs&amp;FolderCTID=0x012000DF16210E418C3840B293E75187CA959E" TargetMode="External"/><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7"/>
  <sheetViews>
    <sheetView showGridLines="0" tabSelected="1" workbookViewId="0"/>
  </sheetViews>
  <sheetFormatPr defaultRowHeight="15" x14ac:dyDescent="0.25"/>
  <cols>
    <col min="1" max="1" width="60.42578125" style="141" bestFit="1" customWidth="1"/>
    <col min="2" max="2" width="15.5703125" style="141" customWidth="1"/>
    <col min="3" max="3" width="8.28515625" style="141" bestFit="1" customWidth="1"/>
    <col min="4" max="4" width="21" style="141" customWidth="1"/>
    <col min="5" max="16384" width="9.140625" style="141"/>
  </cols>
  <sheetData>
    <row r="1" spans="1:5" ht="15.75" thickBot="1" x14ac:dyDescent="0.3">
      <c r="A1" s="403" t="s">
        <v>0</v>
      </c>
      <c r="B1" s="404"/>
      <c r="C1" s="405" t="s">
        <v>1</v>
      </c>
      <c r="D1" s="406" t="s">
        <v>2</v>
      </c>
    </row>
    <row r="2" spans="1:5" x14ac:dyDescent="0.25">
      <c r="A2" s="416" t="str">
        <f>'MH-60R CVW 11 Plane 20 Crew'!A1:G1</f>
        <v>Readiness Standards HSM MH-60R CVW 11 plane - 20 crew</v>
      </c>
      <c r="B2" s="407" t="s">
        <v>3</v>
      </c>
      <c r="C2" s="367">
        <f>'MH-60R CVW 11 Plane 20 Crew'!AD1</f>
        <v>6.01</v>
      </c>
      <c r="D2" s="408">
        <f>'MH-60R CVW 11 Plane 20 Crew'!M1</f>
        <v>44835</v>
      </c>
      <c r="E2" s="140" t="str">
        <f t="shared" ref="E2:E18" ca="1" si="0">IF(D2&gt;NOW()-90," ! NEW","")</f>
        <v/>
      </c>
    </row>
    <row r="3" spans="1:5" x14ac:dyDescent="0.25">
      <c r="A3" s="333" t="str">
        <f>'MH-60R CVW 10 Plane 18 Crew'!A1</f>
        <v>Readiness Standards HSM MH-60R CVW 10 plane - 18 crew</v>
      </c>
      <c r="B3" s="457" t="s">
        <v>3</v>
      </c>
      <c r="C3" s="458">
        <f>'MH-60R CVW 10 Plane 18 Crew'!AD1</f>
        <v>6.02</v>
      </c>
      <c r="D3" s="459">
        <f>'MH-60R CVW 10 Plane 18 Crew'!M1</f>
        <v>44835</v>
      </c>
      <c r="E3" s="140" t="str">
        <f t="shared" ca="1" si="0"/>
        <v/>
      </c>
    </row>
    <row r="4" spans="1:5" x14ac:dyDescent="0.25">
      <c r="A4" s="328" t="str">
        <f>'MH-60R FDNF 7 Plane 14 Crew'!A1:G1</f>
        <v>Readiness Standards HSM MH-60R FDNF CVW 7 plane - 14 crew</v>
      </c>
      <c r="B4" s="460" t="s">
        <v>3</v>
      </c>
      <c r="C4" s="458">
        <f>'MH-60R FDNF 7 Plane 14 Crew'!AD1</f>
        <v>6.03</v>
      </c>
      <c r="D4" s="459">
        <f>'MH-60R FDNF 7 Plane 14 Crew'!M1</f>
        <v>44835</v>
      </c>
      <c r="E4" s="140" t="str">
        <f t="shared" ca="1" si="0"/>
        <v/>
      </c>
    </row>
    <row r="5" spans="1:5" x14ac:dyDescent="0.25">
      <c r="A5" s="142" t="str">
        <f>'MH-60R FDNF 1 plane-2 crew DRRS'!A1:F1</f>
        <v>Readiness Standards HSM MH-60R FDNF 1 plane - 2 crew</v>
      </c>
      <c r="B5" s="461" t="s">
        <v>3</v>
      </c>
      <c r="C5" s="458">
        <f>'MH-60R FDNF 1 plane-2 crew DRRS'!AD1</f>
        <v>6.04</v>
      </c>
      <c r="D5" s="459">
        <f>'MH-60R FDNF 1 plane-2 crew DRRS'!M1</f>
        <v>44835</v>
      </c>
      <c r="E5" s="140" t="str">
        <f t="shared" ca="1" si="0"/>
        <v/>
      </c>
    </row>
    <row r="6" spans="1:5" x14ac:dyDescent="0.25">
      <c r="A6" s="142" t="str">
        <f>'MH-60R FDNF 2 plane-3 crew DRRS'!A1:F1</f>
        <v>Readiness Standards HSM MH-60R FDNF 2 plane - 3 crew</v>
      </c>
      <c r="B6" s="461" t="s">
        <v>3</v>
      </c>
      <c r="C6" s="458">
        <f>'MH-60R FDNF 2 plane-3 crew DRRS'!AD1</f>
        <v>6.05</v>
      </c>
      <c r="D6" s="459">
        <f>'MH-60R FDNF 2 plane-3 crew DRRS'!M1</f>
        <v>44835</v>
      </c>
      <c r="E6" s="140" t="str">
        <f t="shared" ca="1" si="0"/>
        <v/>
      </c>
    </row>
    <row r="7" spans="1:5" x14ac:dyDescent="0.25">
      <c r="A7" s="142" t="str">
        <f>'MH-60R EXP 1 Plane-2 Crew DRRS'!A1:G1</f>
        <v>Readiness Standards HSM MH-60R EXP 1 plane - 2 crew</v>
      </c>
      <c r="B7" s="460" t="s">
        <v>3</v>
      </c>
      <c r="C7" s="458">
        <f>'MH-60R EXP 1 Plane-2 Crew DRRS'!AD1</f>
        <v>6.06</v>
      </c>
      <c r="D7" s="459">
        <f>'MH-60R EXP 1 Plane-2 Crew DRRS'!M1</f>
        <v>44835</v>
      </c>
      <c r="E7" s="140" t="str">
        <f t="shared" ca="1" si="0"/>
        <v/>
      </c>
    </row>
    <row r="8" spans="1:5" x14ac:dyDescent="0.25">
      <c r="A8" s="142" t="str">
        <f>'MH-60R EXP 2 Plane-3 Crew DRRS'!A1:G1</f>
        <v>Readiness Standards HSM MH-60R EXP 2 plane - 3 crew</v>
      </c>
      <c r="B8" s="462" t="s">
        <v>3</v>
      </c>
      <c r="C8" s="458">
        <f>'MH-60R EXP 2 Plane-3 Crew DRRS'!AD1</f>
        <v>6.07</v>
      </c>
      <c r="D8" s="459">
        <f>'MH-60R EXP 2 Plane-3 Crew DRRS'!M1</f>
        <v>44835</v>
      </c>
      <c r="E8" s="140" t="str">
        <f t="shared" ca="1" si="0"/>
        <v/>
      </c>
    </row>
    <row r="9" spans="1:5" x14ac:dyDescent="0.25">
      <c r="A9" s="333" t="str">
        <f>'HSM HSM-40 FRS (U)'!A1</f>
        <v>Readiness Standards HSM MH-60R HSM-40 FRS</v>
      </c>
      <c r="B9" s="461"/>
      <c r="C9" s="458">
        <f>'HSM HSM-40 FRS (U)'!AD1</f>
        <v>6.08</v>
      </c>
      <c r="D9" s="459">
        <f>'HSM HSM-40 FRS (U)'!M1</f>
        <v>44835</v>
      </c>
      <c r="E9" s="140" t="str">
        <f t="shared" ca="1" si="0"/>
        <v/>
      </c>
    </row>
    <row r="10" spans="1:5" x14ac:dyDescent="0.25">
      <c r="A10" s="333" t="str">
        <f>'HSM HSM-41 FRS (U)'!A1</f>
        <v>Readiness Standards HSM MH-60R HSM-41 FRS</v>
      </c>
      <c r="B10" s="461"/>
      <c r="C10" s="458">
        <f>'HSM HSM-41 FRS (U)'!AD1</f>
        <v>6.09</v>
      </c>
      <c r="D10" s="459">
        <f>'HSM HSM-41 FRS (U)'!M1</f>
        <v>44835</v>
      </c>
      <c r="E10" s="140" t="str">
        <f t="shared" ca="1" si="0"/>
        <v/>
      </c>
    </row>
    <row r="11" spans="1:5" x14ac:dyDescent="0.25">
      <c r="A11" s="333" t="str">
        <f>'HSM MH-60R PDAA'!A1</f>
        <v>Readiness Standards HSM MH-60R Test</v>
      </c>
      <c r="B11" s="461"/>
      <c r="C11" s="458">
        <f>'HSM MH-60R PDAA'!AD1</f>
        <v>6.1</v>
      </c>
      <c r="D11" s="459">
        <f>'HSM MH-60R PDAA'!H1</f>
        <v>44835</v>
      </c>
      <c r="E11" s="140" t="str">
        <f t="shared" ca="1" si="0"/>
        <v/>
      </c>
    </row>
    <row r="12" spans="1:5" x14ac:dyDescent="0.25">
      <c r="A12" s="333" t="str">
        <f>'MH-60R Reduced MET Matrix'!C2</f>
        <v>Navy MH-60S TMS Reduced MET to Mission System Map</v>
      </c>
      <c r="B12" s="463"/>
      <c r="C12" s="463"/>
      <c r="D12" s="459">
        <f>'MH-60R Reduced MET Matrix'!B1</f>
        <v>44835</v>
      </c>
      <c r="E12" s="140" t="str">
        <f t="shared" ca="1" si="0"/>
        <v/>
      </c>
    </row>
    <row r="13" spans="1:5" x14ac:dyDescent="0.25">
      <c r="A13" s="333" t="str">
        <f>'MH-60R Mission System Summary'!A1</f>
        <v>MH-60R Mission System Utilization per Flight Task</v>
      </c>
      <c r="B13" s="463"/>
      <c r="C13" s="463"/>
      <c r="D13" s="459">
        <f>'MH-60R Mission System Summary'!J1</f>
        <v>44825</v>
      </c>
      <c r="E13" s="140" t="str">
        <f t="shared" ca="1" si="0"/>
        <v/>
      </c>
    </row>
    <row r="14" spans="1:5" x14ac:dyDescent="0.25">
      <c r="A14" s="328" t="str">
        <f>'MH-60R Mission Systems'!A1</f>
        <v>Mission System Groups HSM MH-60R</v>
      </c>
      <c r="B14" s="461"/>
      <c r="C14" s="461"/>
      <c r="D14" s="459">
        <f>'MH-60R Mission Systems'!E1</f>
        <v>44292</v>
      </c>
      <c r="E14" s="140" t="str">
        <f t="shared" ca="1" si="0"/>
        <v/>
      </c>
    </row>
    <row r="15" spans="1:5" x14ac:dyDescent="0.25">
      <c r="A15" s="409"/>
      <c r="B15" s="464"/>
      <c r="C15" s="464"/>
      <c r="D15" s="459"/>
      <c r="E15" s="140" t="str">
        <f t="shared" ca="1" si="0"/>
        <v/>
      </c>
    </row>
    <row r="16" spans="1:5" x14ac:dyDescent="0.25">
      <c r="A16" s="409"/>
      <c r="B16" s="465"/>
      <c r="C16" s="465"/>
      <c r="D16" s="466"/>
      <c r="E16" s="140" t="str">
        <f t="shared" ca="1" si="0"/>
        <v/>
      </c>
    </row>
    <row r="17" spans="1:5" x14ac:dyDescent="0.25">
      <c r="A17" s="409"/>
      <c r="B17" s="465"/>
      <c r="C17" s="465"/>
      <c r="D17" s="466"/>
      <c r="E17" s="140" t="str">
        <f t="shared" ca="1" si="0"/>
        <v/>
      </c>
    </row>
    <row r="18" spans="1:5" ht="15.75" thickBot="1" x14ac:dyDescent="0.3">
      <c r="A18" s="143"/>
      <c r="B18" s="410"/>
      <c r="C18" s="410"/>
      <c r="D18" s="411"/>
      <c r="E18" s="140" t="str">
        <f t="shared" ca="1" si="0"/>
        <v/>
      </c>
    </row>
    <row r="20" spans="1:5" ht="15.75" thickBot="1" x14ac:dyDescent="0.3"/>
    <row r="21" spans="1:5" x14ac:dyDescent="0.25">
      <c r="A21" s="400" t="s">
        <v>4</v>
      </c>
      <c r="B21" s="401"/>
      <c r="C21" s="401"/>
      <c r="D21" s="402" t="s">
        <v>5</v>
      </c>
    </row>
    <row r="22" spans="1:5" x14ac:dyDescent="0.25">
      <c r="A22" s="409"/>
      <c r="B22" s="465"/>
      <c r="C22" s="465"/>
      <c r="D22" s="467"/>
    </row>
    <row r="23" spans="1:5" x14ac:dyDescent="0.25">
      <c r="A23" s="409"/>
      <c r="B23" s="465"/>
      <c r="C23" s="465"/>
      <c r="D23" s="467"/>
    </row>
    <row r="24" spans="1:5" x14ac:dyDescent="0.25">
      <c r="A24" s="409"/>
      <c r="B24" s="465"/>
      <c r="C24" s="465"/>
      <c r="D24" s="467"/>
    </row>
    <row r="25" spans="1:5" ht="15.75" thickBot="1" x14ac:dyDescent="0.3">
      <c r="A25" s="143"/>
      <c r="B25" s="410"/>
      <c r="C25" s="410"/>
      <c r="D25" s="411"/>
    </row>
    <row r="27" spans="1:5" x14ac:dyDescent="0.25">
      <c r="A27" s="146" t="s">
        <v>6</v>
      </c>
      <c r="B27" s="146"/>
      <c r="C27" s="146"/>
    </row>
  </sheetData>
  <phoneticPr fontId="5" type="noConversion"/>
  <hyperlinks>
    <hyperlink ref="A7" location="'MH-60R EXP 1 Plane-2 Crew DRRS'!A1" display="'MH-60R EXP 1 Plane-2 Crew DRRS'!A1" xr:uid="{00000000-0004-0000-0000-000000000000}"/>
    <hyperlink ref="A8" location="'MH-60R EXP 2 Plane-3 Crew DRRS'!A1" display="'MH-60R EXP 2 Plane-3 Crew DRRS'!A1" xr:uid="{00000000-0004-0000-0000-000001000000}"/>
    <hyperlink ref="A2" location="'MH-60R CVW 11 Plane 20 Crew'!A1" display="'MH-60R CVW 11 Plane 20 Crew'!A1" xr:uid="{00000000-0004-0000-0000-000002000000}"/>
    <hyperlink ref="A4" location="'MH-60R FDNF 7 Plane 14 Crew'!A1" display="'MH-60R FDNF 7 Plane 14 Crew'!A1" xr:uid="{00000000-0004-0000-0000-000003000000}"/>
    <hyperlink ref="A5" location="'MH-60R FDNF 1 plane-2 crew DRRS'!A1" display="'MH-60R FDNF 1 plane-2 crew DRRS'!A1" xr:uid="{00000000-0004-0000-0000-000004000000}"/>
    <hyperlink ref="A6" location="'MH-60R FDNF 2 plane-3 crew DRRS'!A1" display="'MH-60R FDNF 2 plane-3 crew DRRS'!A1" xr:uid="{00000000-0004-0000-0000-000005000000}"/>
    <hyperlink ref="A9" location="'HSM HSM-40 FRS (U)'!A1" display="'HSM HSM-40 FRS (U)'!A1" xr:uid="{00000000-0004-0000-0000-000006000000}"/>
    <hyperlink ref="A14" location="'MH-60R Mission Systems'!A1" display="'MH-60R Mission Systems'!A1" xr:uid="{00000000-0004-0000-0000-000007000000}"/>
    <hyperlink ref="A3" location="'MH-60R CVW 10 Plane 18 Crew'!A1" display="'MH-60R CVW 10 Plane 18 Crew'!A1" xr:uid="{00000000-0004-0000-0000-000008000000}"/>
    <hyperlink ref="B7" location="'MH-60R EXP 1 Plane-2 Crew DRRS'!A118" display="AMFOM" xr:uid="{00000000-0004-0000-0000-000009000000}"/>
    <hyperlink ref="B8" location="'MH-60R EXP 2 Plane-3 Crew DRRS'!A118" display="AMFOM" xr:uid="{00000000-0004-0000-0000-00000A000000}"/>
    <hyperlink ref="B2" location="'MH-60R CVW 11 Plane 20 Crew'!A121" display="AMFOM" xr:uid="{00000000-0004-0000-0000-00000B000000}"/>
    <hyperlink ref="B3" location="'MH-60R CVW 10 Plane 18 Crew'!A121" display="AMFOM" xr:uid="{00000000-0004-0000-0000-00000C000000}"/>
    <hyperlink ref="B5" location="'MH-60R FDNF 1 plane-2 crew DRRS'!A118" display="AMFOM" xr:uid="{00000000-0004-0000-0000-00000D000000}"/>
    <hyperlink ref="B6" location="'MH-60R FDNF 2 plane-3 crew DRRS'!A118" display="AMFOM" xr:uid="{00000000-0004-0000-0000-00000E000000}"/>
    <hyperlink ref="B4" location="'MH-60R FDNF 7 Plane 14 Crew'!A121" display="AMFOM" xr:uid="{00000000-0004-0000-0000-00000F000000}"/>
    <hyperlink ref="A12" location="'MH-60R Reduced MET Matrix'!A1" display="'MH-60R Reduced MET Matrix'!A1" xr:uid="{00000000-0004-0000-0000-000010000000}"/>
    <hyperlink ref="A10" location="'HSM HSM-41 FRS (U)'!A1" display="'HSM HSM-41 FRS (U)'!A1" xr:uid="{00000000-0004-0000-0000-000011000000}"/>
    <hyperlink ref="A13" location="'MH-60R Mission System Summary'!A1" display="'MH-60R Mission System Summary'!A1" xr:uid="{00000000-0004-0000-0000-000012000000}"/>
    <hyperlink ref="A11" location="'HSM MH-60R PDAA'!A1" display="'HSM MH-60R PDAA'!A1" xr:uid="{00000000-0004-0000-0000-000013000000}"/>
  </hyperlink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7"/>
  <sheetViews>
    <sheetView showGridLines="0" workbookViewId="0">
      <selection activeCell="A23" activeCellId="1" sqref="A21:XFD21 A23:XFD23"/>
    </sheetView>
  </sheetViews>
  <sheetFormatPr defaultRowHeight="15" x14ac:dyDescent="0.25"/>
  <cols>
    <col min="1" max="1" width="9.42578125" style="270" bestFit="1" customWidth="1"/>
    <col min="2" max="2" width="42.7109375" style="270" bestFit="1" customWidth="1"/>
    <col min="3" max="3" width="107" style="358" bestFit="1" customWidth="1"/>
    <col min="4" max="16384" width="9.140625" style="141"/>
  </cols>
  <sheetData>
    <row r="1" spans="1:3" x14ac:dyDescent="0.25">
      <c r="A1" s="468" t="s">
        <v>7</v>
      </c>
      <c r="B1" s="468" t="s">
        <v>8</v>
      </c>
      <c r="C1" s="469" t="s">
        <v>9</v>
      </c>
    </row>
    <row r="2" spans="1:3" x14ac:dyDescent="0.25">
      <c r="A2" s="470">
        <v>41091</v>
      </c>
      <c r="B2" s="471" t="s">
        <v>10</v>
      </c>
      <c r="C2" s="472" t="s">
        <v>11</v>
      </c>
    </row>
    <row r="3" spans="1:3" x14ac:dyDescent="0.25">
      <c r="A3" s="470">
        <v>41365</v>
      </c>
      <c r="B3" s="471" t="s">
        <v>12</v>
      </c>
      <c r="C3" s="472" t="s">
        <v>13</v>
      </c>
    </row>
    <row r="4" spans="1:3" x14ac:dyDescent="0.25">
      <c r="A4" s="470">
        <v>41426</v>
      </c>
      <c r="B4" s="473" t="s">
        <v>14</v>
      </c>
      <c r="C4" s="474" t="s">
        <v>15</v>
      </c>
    </row>
    <row r="5" spans="1:3" x14ac:dyDescent="0.25">
      <c r="A5" s="470">
        <v>42005</v>
      </c>
      <c r="B5" s="471" t="s">
        <v>14</v>
      </c>
      <c r="C5" s="472" t="s">
        <v>16</v>
      </c>
    </row>
    <row r="6" spans="1:3" x14ac:dyDescent="0.25">
      <c r="A6" s="470">
        <v>42005</v>
      </c>
      <c r="B6" s="471" t="s">
        <v>17</v>
      </c>
      <c r="C6" s="472" t="s">
        <v>18</v>
      </c>
    </row>
    <row r="7" spans="1:3" x14ac:dyDescent="0.25">
      <c r="A7" s="470">
        <v>42005</v>
      </c>
      <c r="B7" s="471" t="s">
        <v>19</v>
      </c>
      <c r="C7" s="472" t="s">
        <v>20</v>
      </c>
    </row>
    <row r="8" spans="1:3" x14ac:dyDescent="0.25">
      <c r="A8" s="470">
        <v>42644</v>
      </c>
      <c r="B8" s="471" t="s">
        <v>21</v>
      </c>
      <c r="C8" s="472" t="s">
        <v>22</v>
      </c>
    </row>
    <row r="9" spans="1:3" x14ac:dyDescent="0.25">
      <c r="A9" s="470">
        <v>42736</v>
      </c>
      <c r="B9" s="471" t="s">
        <v>23</v>
      </c>
      <c r="C9" s="472" t="s">
        <v>24</v>
      </c>
    </row>
    <row r="10" spans="1:3" ht="30" x14ac:dyDescent="0.25">
      <c r="A10" s="470">
        <v>42887</v>
      </c>
      <c r="B10" s="471" t="s">
        <v>14</v>
      </c>
      <c r="C10" s="472" t="s">
        <v>25</v>
      </c>
    </row>
    <row r="11" spans="1:3" x14ac:dyDescent="0.25">
      <c r="A11" s="470">
        <v>42887</v>
      </c>
      <c r="B11" s="471" t="s">
        <v>26</v>
      </c>
      <c r="C11" s="472" t="s">
        <v>27</v>
      </c>
    </row>
    <row r="12" spans="1:3" x14ac:dyDescent="0.25">
      <c r="A12" s="475">
        <v>42948</v>
      </c>
      <c r="B12" s="476" t="s">
        <v>14</v>
      </c>
      <c r="C12" s="477" t="s">
        <v>28</v>
      </c>
    </row>
    <row r="13" spans="1:3" x14ac:dyDescent="0.25">
      <c r="A13" s="478">
        <v>43374</v>
      </c>
      <c r="B13" s="476" t="s">
        <v>21</v>
      </c>
      <c r="C13" s="479" t="s">
        <v>22</v>
      </c>
    </row>
    <row r="14" spans="1:3" ht="30" x14ac:dyDescent="0.25">
      <c r="A14" s="478">
        <v>43435</v>
      </c>
      <c r="B14" s="476" t="s">
        <v>14</v>
      </c>
      <c r="C14" s="479" t="s">
        <v>29</v>
      </c>
    </row>
    <row r="15" spans="1:3" x14ac:dyDescent="0.25">
      <c r="A15" s="478">
        <v>43435</v>
      </c>
      <c r="B15" s="476" t="s">
        <v>14</v>
      </c>
      <c r="C15" s="479" t="s">
        <v>30</v>
      </c>
    </row>
    <row r="16" spans="1:3" x14ac:dyDescent="0.25">
      <c r="A16" s="478">
        <v>43435</v>
      </c>
      <c r="B16" s="480" t="s">
        <v>14</v>
      </c>
      <c r="C16" s="481" t="s">
        <v>31</v>
      </c>
    </row>
    <row r="17" spans="1:3" x14ac:dyDescent="0.25">
      <c r="A17" s="478">
        <v>43435</v>
      </c>
      <c r="B17" s="480" t="s">
        <v>32</v>
      </c>
      <c r="C17" s="481" t="s">
        <v>33</v>
      </c>
    </row>
    <row r="18" spans="1:3" x14ac:dyDescent="0.25">
      <c r="A18" s="478">
        <v>43952</v>
      </c>
      <c r="B18" s="476" t="s">
        <v>34</v>
      </c>
      <c r="C18" s="479" t="s">
        <v>35</v>
      </c>
    </row>
    <row r="19" spans="1:3" x14ac:dyDescent="0.25">
      <c r="A19" s="478">
        <v>43862</v>
      </c>
      <c r="B19" s="476" t="s">
        <v>36</v>
      </c>
      <c r="C19" s="482" t="s">
        <v>37</v>
      </c>
    </row>
    <row r="20" spans="1:3" x14ac:dyDescent="0.25">
      <c r="A20" s="478">
        <v>44805</v>
      </c>
      <c r="B20" s="476" t="s">
        <v>38</v>
      </c>
      <c r="C20" s="479" t="s">
        <v>39</v>
      </c>
    </row>
    <row r="21" spans="1:3" x14ac:dyDescent="0.25">
      <c r="A21" s="478">
        <v>44835</v>
      </c>
      <c r="B21" s="476" t="s">
        <v>14</v>
      </c>
      <c r="C21" s="479" t="s">
        <v>40</v>
      </c>
    </row>
    <row r="22" spans="1:3" x14ac:dyDescent="0.25">
      <c r="A22" s="478">
        <v>44835</v>
      </c>
      <c r="B22" s="476" t="s">
        <v>34</v>
      </c>
      <c r="C22" s="479" t="s">
        <v>41</v>
      </c>
    </row>
    <row r="23" spans="1:3" x14ac:dyDescent="0.25">
      <c r="A23" s="483">
        <v>44835</v>
      </c>
      <c r="B23" s="484" t="s">
        <v>14</v>
      </c>
      <c r="C23" s="479" t="s">
        <v>42</v>
      </c>
    </row>
    <row r="24" spans="1:3" x14ac:dyDescent="0.25">
      <c r="A24" s="485"/>
      <c r="B24" s="485"/>
      <c r="C24" s="479"/>
    </row>
    <row r="25" spans="1:3" x14ac:dyDescent="0.25">
      <c r="A25" s="485"/>
      <c r="B25" s="485"/>
      <c r="C25" s="479"/>
    </row>
    <row r="26" spans="1:3" x14ac:dyDescent="0.25">
      <c r="A26" s="485"/>
      <c r="B26" s="485"/>
      <c r="C26" s="479"/>
    </row>
    <row r="27" spans="1:3" x14ac:dyDescent="0.25">
      <c r="A27" s="485"/>
      <c r="B27" s="485"/>
      <c r="C27" s="479"/>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X135"/>
  <sheetViews>
    <sheetView showGridLines="0" topLeftCell="A109" zoomScaleNormal="100" zoomScaleSheetLayoutView="100" workbookViewId="0">
      <selection activeCell="A126" sqref="A126"/>
    </sheetView>
  </sheetViews>
  <sheetFormatPr defaultRowHeight="12" x14ac:dyDescent="0.2"/>
  <cols>
    <col min="1" max="1" width="55" style="15" bestFit="1" customWidth="1"/>
    <col min="2" max="13" width="5.7109375" style="15" customWidth="1"/>
    <col min="14" max="15" width="6.5703125" style="15" bestFit="1" customWidth="1"/>
    <col min="16" max="43" width="5.7109375" style="15" customWidth="1"/>
    <col min="44" max="16384" width="9.140625" style="15"/>
  </cols>
  <sheetData>
    <row r="1" spans="1:43" s="158" customFormat="1" ht="18.75" x14ac:dyDescent="0.3">
      <c r="A1" s="720" t="s">
        <v>43</v>
      </c>
      <c r="B1" s="720"/>
      <c r="C1" s="720"/>
      <c r="D1" s="720"/>
      <c r="E1" s="720"/>
      <c r="F1" s="720"/>
      <c r="G1" s="720"/>
      <c r="H1" s="157" t="s">
        <v>44</v>
      </c>
      <c r="K1" s="139"/>
      <c r="L1" s="159" t="s">
        <v>45</v>
      </c>
      <c r="M1" s="728">
        <v>44835</v>
      </c>
      <c r="N1" s="729"/>
      <c r="O1" s="730"/>
      <c r="P1" s="730"/>
      <c r="Q1" s="160"/>
      <c r="R1" s="160"/>
      <c r="S1" s="160"/>
      <c r="T1" s="160"/>
      <c r="U1" s="160"/>
      <c r="V1" s="160"/>
      <c r="W1" s="160"/>
      <c r="AC1" s="370" t="s">
        <v>46</v>
      </c>
      <c r="AD1" s="735">
        <v>6.01</v>
      </c>
      <c r="AE1" s="735"/>
    </row>
    <row r="2" spans="1:43" s="150" customFormat="1" ht="12.75" x14ac:dyDescent="0.2">
      <c r="A2" s="149" t="s">
        <v>47</v>
      </c>
      <c r="B2" s="2">
        <v>11</v>
      </c>
      <c r="C2" s="3"/>
      <c r="D2" s="3"/>
      <c r="H2" s="324" t="s">
        <v>3</v>
      </c>
      <c r="L2" s="742" t="s">
        <v>48</v>
      </c>
      <c r="M2" s="743"/>
      <c r="N2" s="743"/>
      <c r="O2" s="744"/>
      <c r="P2" s="6"/>
      <c r="Q2" s="151"/>
      <c r="V2" s="131"/>
      <c r="W2" s="131"/>
      <c r="X2" s="6"/>
      <c r="Y2" s="6"/>
      <c r="Z2" s="6"/>
      <c r="AA2" s="6"/>
      <c r="AB2" s="6"/>
    </row>
    <row r="3" spans="1:43" s="150" customFormat="1" ht="11.25" x14ac:dyDescent="0.2">
      <c r="A3" s="149" t="s">
        <v>49</v>
      </c>
      <c r="B3" s="136">
        <f>B4/B2</f>
        <v>1.8181818181818181</v>
      </c>
      <c r="C3" s="3"/>
      <c r="D3" s="3"/>
      <c r="E3" s="149"/>
      <c r="F3" s="3"/>
      <c r="L3" s="721" t="s">
        <v>50</v>
      </c>
      <c r="M3" s="722"/>
      <c r="N3" s="723"/>
      <c r="O3" s="486">
        <v>0.2</v>
      </c>
      <c r="P3" s="6"/>
      <c r="Q3" s="151"/>
      <c r="X3" s="6"/>
      <c r="Y3" s="6"/>
      <c r="Z3" s="6"/>
      <c r="AA3" s="6"/>
      <c r="AB3" s="6"/>
    </row>
    <row r="4" spans="1:43" s="150" customFormat="1" ht="11.25" x14ac:dyDescent="0.2">
      <c r="A4" s="149" t="s">
        <v>51</v>
      </c>
      <c r="B4" s="2">
        <v>20</v>
      </c>
      <c r="C4" s="3"/>
      <c r="D4" s="3"/>
      <c r="E4" s="149"/>
      <c r="F4" s="3"/>
      <c r="G4" s="6"/>
      <c r="H4" s="6"/>
      <c r="L4" s="749" t="s">
        <v>52</v>
      </c>
      <c r="M4" s="749"/>
      <c r="N4" s="749"/>
      <c r="O4" s="486">
        <v>0.4</v>
      </c>
      <c r="P4" s="6"/>
      <c r="Q4" s="151"/>
      <c r="V4" s="131"/>
      <c r="W4" s="131"/>
      <c r="X4" s="6"/>
      <c r="Y4" s="6"/>
      <c r="Z4" s="6"/>
      <c r="AA4" s="6"/>
      <c r="AB4" s="6"/>
    </row>
    <row r="5" spans="1:43" s="150" customFormat="1" ht="11.25" x14ac:dyDescent="0.2">
      <c r="A5" s="149" t="s">
        <v>53</v>
      </c>
      <c r="B5" s="3">
        <v>2</v>
      </c>
      <c r="C5" s="8"/>
      <c r="D5" s="3"/>
      <c r="E5" s="149"/>
      <c r="F5" s="3"/>
      <c r="G5" s="6"/>
      <c r="H5" s="6"/>
      <c r="L5" s="750" t="s">
        <v>54</v>
      </c>
      <c r="M5" s="750"/>
      <c r="N5" s="750"/>
      <c r="O5" s="487">
        <v>0.55000000000000004</v>
      </c>
      <c r="P5" s="6"/>
      <c r="Q5" s="152"/>
      <c r="V5" s="131"/>
      <c r="W5" s="131"/>
      <c r="X5" s="6"/>
      <c r="Y5" s="6"/>
      <c r="Z5" s="6"/>
      <c r="AA5" s="6"/>
      <c r="AB5" s="6"/>
    </row>
    <row r="6" spans="1:43" s="150" customFormat="1" ht="11.25" x14ac:dyDescent="0.2">
      <c r="A6" s="153" t="s">
        <v>55</v>
      </c>
      <c r="B6" s="38">
        <v>28</v>
      </c>
      <c r="C6" s="8"/>
      <c r="D6" s="3"/>
      <c r="E6" s="153"/>
      <c r="F6" s="3"/>
      <c r="G6" s="6"/>
      <c r="H6" s="6"/>
      <c r="L6" s="749" t="s">
        <v>56</v>
      </c>
      <c r="M6" s="749"/>
      <c r="N6" s="749"/>
      <c r="O6" s="486">
        <v>0.55000000000000004</v>
      </c>
      <c r="P6" s="6"/>
      <c r="Q6" s="151"/>
      <c r="V6" s="133"/>
      <c r="W6" s="133"/>
      <c r="X6" s="6"/>
      <c r="Y6" s="6"/>
      <c r="Z6" s="6"/>
      <c r="AA6" s="6"/>
      <c r="AB6" s="6"/>
    </row>
    <row r="7" spans="1:43" s="150" customFormat="1" ht="11.25" x14ac:dyDescent="0.2">
      <c r="A7" s="149" t="s">
        <v>57</v>
      </c>
      <c r="B7" s="37">
        <f>B6*B4</f>
        <v>560</v>
      </c>
      <c r="C7" s="10"/>
      <c r="D7" s="10"/>
      <c r="E7" s="149"/>
      <c r="F7" s="3"/>
      <c r="G7" s="6"/>
      <c r="H7" s="6"/>
      <c r="L7" s="751" t="s">
        <v>58</v>
      </c>
      <c r="M7" s="752"/>
      <c r="N7" s="753"/>
      <c r="O7" s="486">
        <v>0.6</v>
      </c>
      <c r="P7" s="6"/>
      <c r="Q7" s="151"/>
      <c r="V7" s="38"/>
      <c r="W7" s="131"/>
      <c r="X7" s="6"/>
      <c r="Y7" s="6"/>
      <c r="Z7" s="6"/>
      <c r="AA7" s="6"/>
      <c r="AB7" s="6"/>
    </row>
    <row r="8" spans="1:43" s="150" customFormat="1" ht="11.25" x14ac:dyDescent="0.2">
      <c r="A8" s="149" t="s">
        <v>59</v>
      </c>
      <c r="B8" s="38">
        <f>B7/B5</f>
        <v>280</v>
      </c>
      <c r="C8" s="38">
        <f>B8/B4</f>
        <v>14</v>
      </c>
      <c r="D8" s="10" t="s">
        <v>60</v>
      </c>
      <c r="E8" s="149"/>
      <c r="F8" s="3"/>
      <c r="G8" s="6"/>
      <c r="H8" s="6"/>
      <c r="L8" s="721" t="s">
        <v>61</v>
      </c>
      <c r="M8" s="722"/>
      <c r="N8" s="723"/>
      <c r="O8" s="486">
        <v>0.75</v>
      </c>
      <c r="P8" s="6"/>
      <c r="Q8" s="151"/>
      <c r="V8" s="38"/>
      <c r="W8" s="38"/>
      <c r="X8" s="6"/>
      <c r="Y8" s="6"/>
      <c r="Z8" s="6"/>
      <c r="AA8" s="6"/>
      <c r="AB8" s="6"/>
    </row>
    <row r="9" spans="1:43" s="150" customFormat="1" ht="11.25" x14ac:dyDescent="0.2">
      <c r="A9" s="149" t="s">
        <v>62</v>
      </c>
      <c r="B9" s="38">
        <f>C9*$B$4</f>
        <v>20</v>
      </c>
      <c r="C9" s="3">
        <v>1</v>
      </c>
      <c r="D9" s="5" t="s">
        <v>60</v>
      </c>
      <c r="E9" s="149"/>
      <c r="F9" s="3"/>
      <c r="G9" s="154" t="s">
        <v>63</v>
      </c>
      <c r="H9" s="155">
        <v>0.4</v>
      </c>
      <c r="I9" s="6"/>
      <c r="J9" s="6"/>
      <c r="K9" s="6"/>
      <c r="L9" s="754" t="s">
        <v>64</v>
      </c>
      <c r="M9" s="754"/>
      <c r="N9" s="754"/>
      <c r="O9" s="43"/>
      <c r="P9" s="6"/>
      <c r="Q9" s="151"/>
      <c r="R9" s="38"/>
      <c r="S9" s="132"/>
      <c r="T9" s="131"/>
      <c r="U9" s="134"/>
      <c r="V9" s="38"/>
      <c r="W9" s="38"/>
      <c r="X9" s="6"/>
      <c r="Y9" s="6"/>
      <c r="Z9" s="6"/>
      <c r="AA9" s="6"/>
      <c r="AB9" s="6"/>
    </row>
    <row r="10" spans="1:43" s="150" customFormat="1" ht="11.25" x14ac:dyDescent="0.2">
      <c r="A10" s="149" t="s">
        <v>65</v>
      </c>
      <c r="B10" s="38">
        <f>C10*$B$4</f>
        <v>295.2</v>
      </c>
      <c r="C10" s="3">
        <v>14.76</v>
      </c>
      <c r="D10" s="5" t="s">
        <v>60</v>
      </c>
      <c r="E10" s="149"/>
      <c r="F10" s="3"/>
      <c r="G10" s="156" t="s">
        <v>66</v>
      </c>
      <c r="H10" s="155">
        <v>0.28699999999999998</v>
      </c>
      <c r="I10" s="6"/>
      <c r="J10" s="6"/>
      <c r="K10" s="6"/>
      <c r="L10" s="6"/>
      <c r="M10" s="6"/>
      <c r="N10" s="6"/>
      <c r="O10" s="6"/>
      <c r="P10" s="6"/>
      <c r="Q10" s="6"/>
      <c r="R10" s="6"/>
      <c r="S10" s="6"/>
      <c r="T10" s="6"/>
      <c r="U10" s="6"/>
      <c r="V10" s="6"/>
      <c r="W10" s="6"/>
      <c r="X10" s="6"/>
      <c r="Y10" s="6"/>
      <c r="Z10" s="6"/>
      <c r="AA10" s="6"/>
      <c r="AB10" s="6"/>
    </row>
    <row r="11" spans="1:43" s="150" customFormat="1" thickBot="1" x14ac:dyDescent="0.25">
      <c r="A11" s="215" t="s">
        <v>67</v>
      </c>
      <c r="B11" s="5">
        <f>C11*B4</f>
        <v>72</v>
      </c>
      <c r="C11" s="6">
        <v>3.6</v>
      </c>
      <c r="D11" s="12" t="s">
        <v>60</v>
      </c>
      <c r="E11" s="12"/>
      <c r="F11" s="6"/>
      <c r="G11" s="6"/>
      <c r="H11" s="6"/>
      <c r="I11" s="6"/>
      <c r="J11" s="6"/>
      <c r="K11" s="6"/>
      <c r="L11" s="6"/>
      <c r="M11" s="6"/>
      <c r="N11" s="6"/>
      <c r="O11" s="6"/>
      <c r="P11" s="6"/>
      <c r="Q11" s="6"/>
      <c r="R11" s="6"/>
      <c r="S11" s="6"/>
      <c r="T11" s="6"/>
      <c r="U11" s="6"/>
      <c r="V11" s="6"/>
      <c r="W11" s="6"/>
      <c r="X11" s="6"/>
      <c r="Y11" s="6"/>
      <c r="Z11" s="6"/>
      <c r="AA11" s="6"/>
      <c r="AB11" s="6"/>
    </row>
    <row r="12" spans="1:43" s="150" customFormat="1" ht="11.25" x14ac:dyDescent="0.2">
      <c r="C12" s="12"/>
      <c r="D12" s="12"/>
      <c r="E12" s="12"/>
      <c r="F12" s="6"/>
      <c r="G12" s="6"/>
      <c r="H12" s="6"/>
      <c r="I12" s="6"/>
      <c r="J12" s="6"/>
      <c r="K12" s="6"/>
      <c r="L12" s="6"/>
      <c r="M12" s="6"/>
      <c r="N12" s="6"/>
      <c r="O12" s="6"/>
      <c r="P12" s="6"/>
      <c r="Q12" s="6"/>
      <c r="R12" s="6"/>
      <c r="S12" s="6"/>
      <c r="T12" s="6"/>
      <c r="U12" s="6"/>
      <c r="V12" s="6"/>
      <c r="W12" s="6"/>
      <c r="X12" s="6"/>
      <c r="Y12" s="6"/>
      <c r="Z12" s="6"/>
      <c r="AA12" s="6"/>
      <c r="AB12" s="6"/>
      <c r="AC12" s="731" t="s">
        <v>68</v>
      </c>
      <c r="AD12" s="732"/>
      <c r="AE12" s="732"/>
      <c r="AF12" s="732"/>
      <c r="AG12" s="732"/>
      <c r="AH12" s="732"/>
      <c r="AI12" s="732"/>
      <c r="AJ12" s="732"/>
      <c r="AK12" s="732"/>
      <c r="AL12" s="732"/>
      <c r="AM12" s="732"/>
      <c r="AN12" s="732"/>
      <c r="AO12" s="732"/>
      <c r="AP12" s="733"/>
    </row>
    <row r="13" spans="1:43" s="13" customFormat="1" ht="59.25" x14ac:dyDescent="0.2">
      <c r="A13" s="488" t="s">
        <v>69</v>
      </c>
      <c r="B13" s="489" t="s">
        <v>50</v>
      </c>
      <c r="C13" s="489" t="s">
        <v>50</v>
      </c>
      <c r="D13" s="489" t="s">
        <v>50</v>
      </c>
      <c r="E13" s="489" t="s">
        <v>50</v>
      </c>
      <c r="F13" s="489" t="s">
        <v>50</v>
      </c>
      <c r="G13" s="489" t="s">
        <v>50</v>
      </c>
      <c r="H13" s="489" t="s">
        <v>52</v>
      </c>
      <c r="I13" s="489" t="s">
        <v>52</v>
      </c>
      <c r="J13" s="489" t="s">
        <v>52</v>
      </c>
      <c r="K13" s="489" t="s">
        <v>54</v>
      </c>
      <c r="L13" s="489" t="s">
        <v>56</v>
      </c>
      <c r="M13" s="489" t="s">
        <v>56</v>
      </c>
      <c r="N13" s="489" t="s">
        <v>58</v>
      </c>
      <c r="O13" s="489" t="s">
        <v>58</v>
      </c>
      <c r="P13" s="489" t="s">
        <v>58</v>
      </c>
      <c r="Q13" s="489" t="s">
        <v>58</v>
      </c>
      <c r="R13" s="489" t="s">
        <v>61</v>
      </c>
      <c r="S13" s="489" t="s">
        <v>61</v>
      </c>
      <c r="T13" s="489" t="s">
        <v>61</v>
      </c>
      <c r="U13" s="489" t="s">
        <v>61</v>
      </c>
      <c r="V13" s="489" t="s">
        <v>61</v>
      </c>
      <c r="W13" s="489" t="s">
        <v>61</v>
      </c>
      <c r="X13" s="489" t="s">
        <v>58</v>
      </c>
      <c r="Y13" s="489" t="s">
        <v>58</v>
      </c>
      <c r="Z13" s="489" t="s">
        <v>58</v>
      </c>
      <c r="AA13" s="489" t="s">
        <v>58</v>
      </c>
      <c r="AB13" s="490" t="s">
        <v>58</v>
      </c>
      <c r="AC13" s="86" t="s">
        <v>50</v>
      </c>
      <c r="AD13" s="489" t="s">
        <v>52</v>
      </c>
      <c r="AE13" s="489" t="s">
        <v>52</v>
      </c>
      <c r="AF13" s="489" t="s">
        <v>52</v>
      </c>
      <c r="AG13" s="489" t="s">
        <v>54</v>
      </c>
      <c r="AH13" s="489" t="s">
        <v>56</v>
      </c>
      <c r="AI13" s="489" t="s">
        <v>56</v>
      </c>
      <c r="AJ13" s="489" t="s">
        <v>58</v>
      </c>
      <c r="AK13" s="489" t="s">
        <v>58</v>
      </c>
      <c r="AL13" s="489" t="s">
        <v>58</v>
      </c>
      <c r="AM13" s="489" t="s">
        <v>58</v>
      </c>
      <c r="AN13" s="489" t="s">
        <v>58</v>
      </c>
      <c r="AO13" s="489" t="s">
        <v>58</v>
      </c>
      <c r="AP13" s="491" t="s">
        <v>58</v>
      </c>
      <c r="AQ13" s="492" t="s">
        <v>70</v>
      </c>
    </row>
    <row r="14" spans="1:43" s="14" customFormat="1" x14ac:dyDescent="0.2">
      <c r="A14" s="488" t="s">
        <v>71</v>
      </c>
      <c r="B14" s="493" t="s">
        <v>72</v>
      </c>
      <c r="C14" s="493" t="s">
        <v>73</v>
      </c>
      <c r="D14" s="493" t="s">
        <v>74</v>
      </c>
      <c r="E14" s="493" t="s">
        <v>75</v>
      </c>
      <c r="F14" s="493" t="s">
        <v>76</v>
      </c>
      <c r="G14" s="493" t="s">
        <v>77</v>
      </c>
      <c r="H14" s="493" t="s">
        <v>78</v>
      </c>
      <c r="I14" s="493" t="s">
        <v>79</v>
      </c>
      <c r="J14" s="493" t="s">
        <v>80</v>
      </c>
      <c r="K14" s="493" t="s">
        <v>81</v>
      </c>
      <c r="L14" s="493" t="s">
        <v>82</v>
      </c>
      <c r="M14" s="493" t="s">
        <v>83</v>
      </c>
      <c r="N14" s="493" t="s">
        <v>84</v>
      </c>
      <c r="O14" s="493" t="s">
        <v>85</v>
      </c>
      <c r="P14" s="493" t="s">
        <v>86</v>
      </c>
      <c r="Q14" s="493" t="s">
        <v>87</v>
      </c>
      <c r="R14" s="493" t="s">
        <v>88</v>
      </c>
      <c r="S14" s="493" t="s">
        <v>89</v>
      </c>
      <c r="T14" s="493" t="s">
        <v>90</v>
      </c>
      <c r="U14" s="493" t="s">
        <v>91</v>
      </c>
      <c r="V14" s="493" t="s">
        <v>92</v>
      </c>
      <c r="W14" s="493" t="s">
        <v>93</v>
      </c>
      <c r="X14" s="494" t="s">
        <v>94</v>
      </c>
      <c r="Y14" s="493" t="s">
        <v>95</v>
      </c>
      <c r="Z14" s="493" t="s">
        <v>96</v>
      </c>
      <c r="AA14" s="493" t="s">
        <v>97</v>
      </c>
      <c r="AB14" s="495" t="s">
        <v>98</v>
      </c>
      <c r="AC14" s="87" t="s">
        <v>99</v>
      </c>
      <c r="AD14" s="494" t="s">
        <v>100</v>
      </c>
      <c r="AE14" s="494" t="s">
        <v>101</v>
      </c>
      <c r="AF14" s="494" t="s">
        <v>102</v>
      </c>
      <c r="AG14" s="494" t="s">
        <v>103</v>
      </c>
      <c r="AH14" s="494" t="s">
        <v>104</v>
      </c>
      <c r="AI14" s="494" t="s">
        <v>105</v>
      </c>
      <c r="AJ14" s="494" t="s">
        <v>106</v>
      </c>
      <c r="AK14" s="494" t="s">
        <v>107</v>
      </c>
      <c r="AL14" s="494" t="s">
        <v>108</v>
      </c>
      <c r="AM14" s="494" t="s">
        <v>109</v>
      </c>
      <c r="AN14" s="494" t="s">
        <v>110</v>
      </c>
      <c r="AO14" s="494" t="s">
        <v>111</v>
      </c>
      <c r="AP14" s="496" t="s">
        <v>112</v>
      </c>
      <c r="AQ14" s="497" t="s">
        <v>113</v>
      </c>
    </row>
    <row r="15" spans="1:43" s="14" customFormat="1" x14ac:dyDescent="0.2">
      <c r="A15" s="488" t="s">
        <v>114</v>
      </c>
      <c r="B15" s="494">
        <v>1</v>
      </c>
      <c r="C15" s="494">
        <v>2</v>
      </c>
      <c r="D15" s="494">
        <v>3</v>
      </c>
      <c r="E15" s="494">
        <v>4</v>
      </c>
      <c r="F15" s="494">
        <v>5</v>
      </c>
      <c r="G15" s="494">
        <v>6</v>
      </c>
      <c r="H15" s="494">
        <v>7</v>
      </c>
      <c r="I15" s="494">
        <v>8</v>
      </c>
      <c r="J15" s="494">
        <v>9</v>
      </c>
      <c r="K15" s="494">
        <v>10</v>
      </c>
      <c r="L15" s="494">
        <v>11</v>
      </c>
      <c r="M15" s="494">
        <v>12</v>
      </c>
      <c r="N15" s="494">
        <v>13</v>
      </c>
      <c r="O15" s="494">
        <v>14</v>
      </c>
      <c r="P15" s="494">
        <v>15</v>
      </c>
      <c r="Q15" s="494">
        <v>16</v>
      </c>
      <c r="R15" s="494">
        <v>17</v>
      </c>
      <c r="S15" s="494">
        <v>18</v>
      </c>
      <c r="T15" s="494">
        <v>19</v>
      </c>
      <c r="U15" s="494">
        <v>20</v>
      </c>
      <c r="V15" s="494">
        <v>21</v>
      </c>
      <c r="W15" s="494">
        <v>22</v>
      </c>
      <c r="X15" s="494">
        <v>23</v>
      </c>
      <c r="Y15" s="494">
        <v>24</v>
      </c>
      <c r="Z15" s="494">
        <v>25</v>
      </c>
      <c r="AA15" s="494">
        <v>26</v>
      </c>
      <c r="AB15" s="498">
        <v>27</v>
      </c>
      <c r="AC15" s="87">
        <v>28</v>
      </c>
      <c r="AD15" s="494">
        <v>29</v>
      </c>
      <c r="AE15" s="494">
        <v>30</v>
      </c>
      <c r="AF15" s="494">
        <v>31</v>
      </c>
      <c r="AG15" s="494">
        <v>32</v>
      </c>
      <c r="AH15" s="494">
        <v>33</v>
      </c>
      <c r="AI15" s="494">
        <v>34</v>
      </c>
      <c r="AJ15" s="494">
        <v>35</v>
      </c>
      <c r="AK15" s="494">
        <v>36</v>
      </c>
      <c r="AL15" s="494">
        <v>37</v>
      </c>
      <c r="AM15" s="494">
        <v>38</v>
      </c>
      <c r="AN15" s="494">
        <v>39</v>
      </c>
      <c r="AO15" s="494">
        <v>40</v>
      </c>
      <c r="AP15" s="496">
        <v>41</v>
      </c>
      <c r="AQ15" s="497">
        <v>28</v>
      </c>
    </row>
    <row r="16" spans="1:43" x14ac:dyDescent="0.2">
      <c r="A16" s="488" t="s">
        <v>115</v>
      </c>
      <c r="B16" s="715" t="s">
        <v>116</v>
      </c>
      <c r="C16" s="716"/>
      <c r="D16" s="716"/>
      <c r="E16" s="716"/>
      <c r="F16" s="716"/>
      <c r="G16" s="724"/>
      <c r="H16" s="725"/>
      <c r="I16" s="726"/>
      <c r="J16" s="727"/>
      <c r="K16" s="725"/>
      <c r="L16" s="726"/>
      <c r="M16" s="727"/>
      <c r="N16" s="715" t="s">
        <v>117</v>
      </c>
      <c r="O16" s="716"/>
      <c r="P16" s="716"/>
      <c r="Q16" s="724"/>
      <c r="R16" s="715" t="s">
        <v>61</v>
      </c>
      <c r="S16" s="716"/>
      <c r="T16" s="716"/>
      <c r="U16" s="716"/>
      <c r="V16" s="716"/>
      <c r="W16" s="724"/>
      <c r="X16" s="715" t="s">
        <v>117</v>
      </c>
      <c r="Y16" s="716"/>
      <c r="Z16" s="716"/>
      <c r="AA16" s="716"/>
      <c r="AB16" s="716"/>
      <c r="AC16" s="88"/>
      <c r="AD16" s="725"/>
      <c r="AE16" s="726"/>
      <c r="AF16" s="727"/>
      <c r="AG16" s="725"/>
      <c r="AH16" s="726"/>
      <c r="AI16" s="727"/>
      <c r="AJ16" s="715" t="s">
        <v>117</v>
      </c>
      <c r="AK16" s="716"/>
      <c r="AL16" s="724"/>
      <c r="AM16" s="715" t="s">
        <v>117</v>
      </c>
      <c r="AN16" s="716"/>
      <c r="AO16" s="716"/>
      <c r="AP16" s="734"/>
      <c r="AQ16" s="497" t="s">
        <v>118</v>
      </c>
    </row>
    <row r="17" spans="1:43" ht="12.75" x14ac:dyDescent="0.2">
      <c r="A17" s="51" t="s">
        <v>119</v>
      </c>
      <c r="B17" s="499"/>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89"/>
      <c r="AD17" s="39"/>
      <c r="AE17" s="39"/>
      <c r="AF17" s="39"/>
      <c r="AG17" s="39"/>
      <c r="AH17" s="39"/>
      <c r="AI17" s="39"/>
      <c r="AJ17" s="39"/>
      <c r="AK17" s="39"/>
      <c r="AL17" s="39"/>
      <c r="AM17" s="39"/>
      <c r="AN17" s="39"/>
      <c r="AO17" s="39"/>
      <c r="AP17" s="90"/>
      <c r="AQ17" s="40"/>
    </row>
    <row r="18" spans="1:43" s="52" customFormat="1" x14ac:dyDescent="0.2">
      <c r="A18" s="501" t="s">
        <v>120</v>
      </c>
      <c r="B18" s="502">
        <f>MIN(B77,80)</f>
        <v>5</v>
      </c>
      <c r="C18" s="502">
        <f t="shared" ref="C18:AB18" si="0">MIN(C77,80)</f>
        <v>5</v>
      </c>
      <c r="D18" s="502">
        <f t="shared" si="0"/>
        <v>5</v>
      </c>
      <c r="E18" s="502">
        <f t="shared" si="0"/>
        <v>5</v>
      </c>
      <c r="F18" s="502">
        <f t="shared" si="0"/>
        <v>5</v>
      </c>
      <c r="G18" s="502">
        <f t="shared" si="0"/>
        <v>5</v>
      </c>
      <c r="H18" s="502">
        <f t="shared" si="0"/>
        <v>5</v>
      </c>
      <c r="I18" s="502">
        <f t="shared" si="0"/>
        <v>20</v>
      </c>
      <c r="J18" s="502">
        <f t="shared" si="0"/>
        <v>42</v>
      </c>
      <c r="K18" s="502">
        <f t="shared" si="0"/>
        <v>60</v>
      </c>
      <c r="L18" s="502">
        <f t="shared" si="0"/>
        <v>70</v>
      </c>
      <c r="M18" s="502">
        <f t="shared" si="0"/>
        <v>70</v>
      </c>
      <c r="N18" s="502">
        <f t="shared" si="0"/>
        <v>80</v>
      </c>
      <c r="O18" s="502">
        <f t="shared" si="0"/>
        <v>80</v>
      </c>
      <c r="P18" s="502">
        <f t="shared" si="0"/>
        <v>80</v>
      </c>
      <c r="Q18" s="502">
        <f t="shared" si="0"/>
        <v>80</v>
      </c>
      <c r="R18" s="502">
        <f t="shared" si="0"/>
        <v>80</v>
      </c>
      <c r="S18" s="502">
        <f t="shared" si="0"/>
        <v>80</v>
      </c>
      <c r="T18" s="502">
        <f t="shared" si="0"/>
        <v>80</v>
      </c>
      <c r="U18" s="502">
        <f t="shared" si="0"/>
        <v>80</v>
      </c>
      <c r="V18" s="502">
        <f t="shared" si="0"/>
        <v>80</v>
      </c>
      <c r="W18" s="502">
        <f t="shared" si="0"/>
        <v>80</v>
      </c>
      <c r="X18" s="502">
        <f t="shared" si="0"/>
        <v>80</v>
      </c>
      <c r="Y18" s="502">
        <f t="shared" si="0"/>
        <v>80</v>
      </c>
      <c r="Z18" s="502">
        <f t="shared" si="0"/>
        <v>80</v>
      </c>
      <c r="AA18" s="502">
        <f t="shared" si="0"/>
        <v>80</v>
      </c>
      <c r="AB18" s="503">
        <f t="shared" si="0"/>
        <v>80</v>
      </c>
      <c r="AC18" s="91">
        <f>G18</f>
        <v>5</v>
      </c>
      <c r="AD18" s="504">
        <f t="shared" ref="AD18:AL18" si="1">H18</f>
        <v>5</v>
      </c>
      <c r="AE18" s="504">
        <f t="shared" si="1"/>
        <v>20</v>
      </c>
      <c r="AF18" s="504">
        <f t="shared" si="1"/>
        <v>42</v>
      </c>
      <c r="AG18" s="504">
        <f t="shared" si="1"/>
        <v>60</v>
      </c>
      <c r="AH18" s="504">
        <f t="shared" si="1"/>
        <v>70</v>
      </c>
      <c r="AI18" s="504">
        <f t="shared" si="1"/>
        <v>70</v>
      </c>
      <c r="AJ18" s="504">
        <f t="shared" si="1"/>
        <v>80</v>
      </c>
      <c r="AK18" s="504">
        <f t="shared" si="1"/>
        <v>80</v>
      </c>
      <c r="AL18" s="504">
        <f t="shared" si="1"/>
        <v>80</v>
      </c>
      <c r="AM18" s="504">
        <f>Y18</f>
        <v>80</v>
      </c>
      <c r="AN18" s="504">
        <f t="shared" ref="AN18:AP18" si="2">Z18</f>
        <v>80</v>
      </c>
      <c r="AO18" s="504">
        <f t="shared" si="2"/>
        <v>80</v>
      </c>
      <c r="AP18" s="505">
        <f t="shared" si="2"/>
        <v>80</v>
      </c>
      <c r="AQ18" s="506">
        <f>MIN(AQ78,80)</f>
        <v>18.616566771031298</v>
      </c>
    </row>
    <row r="19" spans="1:43" x14ac:dyDescent="0.2">
      <c r="A19" s="507" t="s">
        <v>121</v>
      </c>
      <c r="B19" s="508">
        <v>0.5</v>
      </c>
      <c r="C19" s="508">
        <v>0.5</v>
      </c>
      <c r="D19" s="508">
        <v>0.5</v>
      </c>
      <c r="E19" s="508">
        <v>0.5</v>
      </c>
      <c r="F19" s="508">
        <v>0.5</v>
      </c>
      <c r="G19" s="508">
        <v>0.5</v>
      </c>
      <c r="H19" s="508">
        <v>0.55000000000000004</v>
      </c>
      <c r="I19" s="508">
        <v>0.6</v>
      </c>
      <c r="J19" s="508">
        <v>0.65</v>
      </c>
      <c r="K19" s="508">
        <v>0.7</v>
      </c>
      <c r="L19" s="508">
        <v>0.7</v>
      </c>
      <c r="M19" s="508">
        <v>0.7</v>
      </c>
      <c r="N19" s="508">
        <v>0.7</v>
      </c>
      <c r="O19" s="508">
        <v>0.7</v>
      </c>
      <c r="P19" s="508">
        <v>0.7</v>
      </c>
      <c r="Q19" s="508">
        <v>0.4</v>
      </c>
      <c r="R19" s="508">
        <v>0.8</v>
      </c>
      <c r="S19" s="508">
        <v>0.8</v>
      </c>
      <c r="T19" s="508">
        <v>0.8</v>
      </c>
      <c r="U19" s="508">
        <v>0.8</v>
      </c>
      <c r="V19" s="508">
        <v>0.8</v>
      </c>
      <c r="W19" s="508">
        <v>0.7</v>
      </c>
      <c r="X19" s="508">
        <v>0.4</v>
      </c>
      <c r="Y19" s="508">
        <v>0.6</v>
      </c>
      <c r="Z19" s="508">
        <v>0.6</v>
      </c>
      <c r="AA19" s="508">
        <v>0.6</v>
      </c>
      <c r="AB19" s="509">
        <v>0.6</v>
      </c>
      <c r="AC19" s="92">
        <v>0.5</v>
      </c>
      <c r="AD19" s="508">
        <v>0.55000000000000004</v>
      </c>
      <c r="AE19" s="508">
        <v>0.6</v>
      </c>
      <c r="AF19" s="508">
        <v>0.65</v>
      </c>
      <c r="AG19" s="508">
        <v>0.7</v>
      </c>
      <c r="AH19" s="508">
        <v>0.7</v>
      </c>
      <c r="AI19" s="508">
        <v>0.7</v>
      </c>
      <c r="AJ19" s="508">
        <v>0.7</v>
      </c>
      <c r="AK19" s="508">
        <v>0.7</v>
      </c>
      <c r="AL19" s="508">
        <v>0.7</v>
      </c>
      <c r="AM19" s="508">
        <v>0.6</v>
      </c>
      <c r="AN19" s="508">
        <v>0.6</v>
      </c>
      <c r="AO19" s="508">
        <v>0.6</v>
      </c>
      <c r="AP19" s="510">
        <v>0.6</v>
      </c>
      <c r="AQ19" s="511">
        <v>0.4</v>
      </c>
    </row>
    <row r="20" spans="1:43" x14ac:dyDescent="0.2">
      <c r="A20" s="512" t="s">
        <v>122</v>
      </c>
      <c r="B20" s="509"/>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240"/>
      <c r="AD20" s="513"/>
      <c r="AE20" s="513"/>
      <c r="AF20" s="513"/>
      <c r="AG20" s="513"/>
      <c r="AH20" s="513"/>
      <c r="AI20" s="513"/>
      <c r="AJ20" s="513"/>
      <c r="AK20" s="513"/>
      <c r="AL20" s="513"/>
      <c r="AM20" s="513"/>
      <c r="AN20" s="513"/>
      <c r="AO20" s="513"/>
      <c r="AP20" s="514"/>
      <c r="AQ20" s="511"/>
    </row>
    <row r="21" spans="1:43" s="16" customFormat="1" x14ac:dyDescent="0.2">
      <c r="A21" s="515" t="s">
        <v>123</v>
      </c>
      <c r="B21" s="516">
        <f t="shared" ref="B21:AP21" si="3">B19*$B$8</f>
        <v>140</v>
      </c>
      <c r="C21" s="516">
        <f t="shared" si="3"/>
        <v>140</v>
      </c>
      <c r="D21" s="516">
        <f t="shared" si="3"/>
        <v>140</v>
      </c>
      <c r="E21" s="516">
        <f t="shared" si="3"/>
        <v>140</v>
      </c>
      <c r="F21" s="516">
        <f t="shared" si="3"/>
        <v>140</v>
      </c>
      <c r="G21" s="516">
        <f t="shared" si="3"/>
        <v>140</v>
      </c>
      <c r="H21" s="516">
        <f t="shared" si="3"/>
        <v>154</v>
      </c>
      <c r="I21" s="516">
        <f t="shared" si="3"/>
        <v>168</v>
      </c>
      <c r="J21" s="516">
        <f t="shared" si="3"/>
        <v>182</v>
      </c>
      <c r="K21" s="516">
        <f t="shared" si="3"/>
        <v>196</v>
      </c>
      <c r="L21" s="516">
        <f t="shared" si="3"/>
        <v>196</v>
      </c>
      <c r="M21" s="516">
        <f t="shared" si="3"/>
        <v>196</v>
      </c>
      <c r="N21" s="516">
        <f t="shared" si="3"/>
        <v>196</v>
      </c>
      <c r="O21" s="516">
        <f t="shared" si="3"/>
        <v>196</v>
      </c>
      <c r="P21" s="516">
        <f t="shared" si="3"/>
        <v>196</v>
      </c>
      <c r="Q21" s="516">
        <f t="shared" si="3"/>
        <v>112</v>
      </c>
      <c r="R21" s="516">
        <f t="shared" si="3"/>
        <v>224</v>
      </c>
      <c r="S21" s="516">
        <f t="shared" si="3"/>
        <v>224</v>
      </c>
      <c r="T21" s="516">
        <f t="shared" si="3"/>
        <v>224</v>
      </c>
      <c r="U21" s="516">
        <f t="shared" si="3"/>
        <v>224</v>
      </c>
      <c r="V21" s="516">
        <f t="shared" si="3"/>
        <v>224</v>
      </c>
      <c r="W21" s="516">
        <f t="shared" si="3"/>
        <v>196</v>
      </c>
      <c r="X21" s="516">
        <f t="shared" si="3"/>
        <v>112</v>
      </c>
      <c r="Y21" s="516">
        <f t="shared" si="3"/>
        <v>168</v>
      </c>
      <c r="Z21" s="516">
        <f t="shared" si="3"/>
        <v>168</v>
      </c>
      <c r="AA21" s="516">
        <f t="shared" si="3"/>
        <v>168</v>
      </c>
      <c r="AB21" s="517">
        <f t="shared" si="3"/>
        <v>168</v>
      </c>
      <c r="AC21" s="105">
        <f t="shared" si="3"/>
        <v>140</v>
      </c>
      <c r="AD21" s="517">
        <f t="shared" si="3"/>
        <v>154</v>
      </c>
      <c r="AE21" s="517">
        <f t="shared" si="3"/>
        <v>168</v>
      </c>
      <c r="AF21" s="517">
        <f t="shared" si="3"/>
        <v>182</v>
      </c>
      <c r="AG21" s="517">
        <f t="shared" si="3"/>
        <v>196</v>
      </c>
      <c r="AH21" s="517">
        <f t="shared" si="3"/>
        <v>196</v>
      </c>
      <c r="AI21" s="517">
        <f t="shared" si="3"/>
        <v>196</v>
      </c>
      <c r="AJ21" s="517">
        <f t="shared" si="3"/>
        <v>196</v>
      </c>
      <c r="AK21" s="517">
        <f t="shared" si="3"/>
        <v>196</v>
      </c>
      <c r="AL21" s="517">
        <f t="shared" si="3"/>
        <v>196</v>
      </c>
      <c r="AM21" s="517">
        <f t="shared" si="3"/>
        <v>168</v>
      </c>
      <c r="AN21" s="517">
        <f t="shared" si="3"/>
        <v>168</v>
      </c>
      <c r="AO21" s="517">
        <f t="shared" si="3"/>
        <v>168</v>
      </c>
      <c r="AP21" s="518">
        <f t="shared" si="3"/>
        <v>168</v>
      </c>
      <c r="AQ21" s="519">
        <f>AQ19*$B$8</f>
        <v>112</v>
      </c>
    </row>
    <row r="22" spans="1:43" s="17" customFormat="1" x14ac:dyDescent="0.2">
      <c r="A22" s="515" t="s">
        <v>124</v>
      </c>
      <c r="B22" s="520">
        <f t="shared" ref="B22:AQ22" si="4">B21*$B$5</f>
        <v>280</v>
      </c>
      <c r="C22" s="520">
        <f t="shared" si="4"/>
        <v>280</v>
      </c>
      <c r="D22" s="520">
        <f t="shared" si="4"/>
        <v>280</v>
      </c>
      <c r="E22" s="520">
        <f t="shared" si="4"/>
        <v>280</v>
      </c>
      <c r="F22" s="520">
        <f t="shared" si="4"/>
        <v>280</v>
      </c>
      <c r="G22" s="520">
        <f t="shared" si="4"/>
        <v>280</v>
      </c>
      <c r="H22" s="520">
        <f t="shared" si="4"/>
        <v>308</v>
      </c>
      <c r="I22" s="520">
        <f t="shared" si="4"/>
        <v>336</v>
      </c>
      <c r="J22" s="520">
        <f t="shared" si="4"/>
        <v>364</v>
      </c>
      <c r="K22" s="520">
        <f t="shared" si="4"/>
        <v>392</v>
      </c>
      <c r="L22" s="520">
        <f t="shared" si="4"/>
        <v>392</v>
      </c>
      <c r="M22" s="520">
        <f t="shared" si="4"/>
        <v>392</v>
      </c>
      <c r="N22" s="520">
        <f t="shared" si="4"/>
        <v>392</v>
      </c>
      <c r="O22" s="520">
        <f t="shared" si="4"/>
        <v>392</v>
      </c>
      <c r="P22" s="520">
        <f t="shared" si="4"/>
        <v>392</v>
      </c>
      <c r="Q22" s="520">
        <f t="shared" si="4"/>
        <v>224</v>
      </c>
      <c r="R22" s="520">
        <f t="shared" si="4"/>
        <v>448</v>
      </c>
      <c r="S22" s="520">
        <f t="shared" si="4"/>
        <v>448</v>
      </c>
      <c r="T22" s="520">
        <f t="shared" si="4"/>
        <v>448</v>
      </c>
      <c r="U22" s="520">
        <f t="shared" si="4"/>
        <v>448</v>
      </c>
      <c r="V22" s="520">
        <f t="shared" si="4"/>
        <v>448</v>
      </c>
      <c r="W22" s="520">
        <f t="shared" si="4"/>
        <v>392</v>
      </c>
      <c r="X22" s="520">
        <f t="shared" si="4"/>
        <v>224</v>
      </c>
      <c r="Y22" s="520">
        <f t="shared" si="4"/>
        <v>336</v>
      </c>
      <c r="Z22" s="520">
        <f t="shared" si="4"/>
        <v>336</v>
      </c>
      <c r="AA22" s="520">
        <f t="shared" si="4"/>
        <v>336</v>
      </c>
      <c r="AB22" s="521">
        <f t="shared" si="4"/>
        <v>336</v>
      </c>
      <c r="AC22" s="106">
        <f t="shared" si="4"/>
        <v>280</v>
      </c>
      <c r="AD22" s="521">
        <f t="shared" si="4"/>
        <v>308</v>
      </c>
      <c r="AE22" s="521">
        <f t="shared" si="4"/>
        <v>336</v>
      </c>
      <c r="AF22" s="521">
        <f t="shared" si="4"/>
        <v>364</v>
      </c>
      <c r="AG22" s="521">
        <f t="shared" si="4"/>
        <v>392</v>
      </c>
      <c r="AH22" s="521">
        <f t="shared" si="4"/>
        <v>392</v>
      </c>
      <c r="AI22" s="521">
        <f t="shared" si="4"/>
        <v>392</v>
      </c>
      <c r="AJ22" s="521">
        <f t="shared" si="4"/>
        <v>392</v>
      </c>
      <c r="AK22" s="521">
        <f t="shared" si="4"/>
        <v>392</v>
      </c>
      <c r="AL22" s="521">
        <f t="shared" si="4"/>
        <v>392</v>
      </c>
      <c r="AM22" s="521">
        <f t="shared" si="4"/>
        <v>336</v>
      </c>
      <c r="AN22" s="521">
        <f t="shared" si="4"/>
        <v>336</v>
      </c>
      <c r="AO22" s="521">
        <f t="shared" si="4"/>
        <v>336</v>
      </c>
      <c r="AP22" s="522">
        <f t="shared" si="4"/>
        <v>336</v>
      </c>
      <c r="AQ22" s="523">
        <f t="shared" si="4"/>
        <v>224</v>
      </c>
    </row>
    <row r="23" spans="1:43" s="17" customFormat="1" x14ac:dyDescent="0.2">
      <c r="A23" s="515" t="s">
        <v>125</v>
      </c>
      <c r="B23" s="524">
        <f>$B$9</f>
        <v>20</v>
      </c>
      <c r="C23" s="524">
        <f t="shared" ref="C23:AQ23" si="5">$B$9</f>
        <v>20</v>
      </c>
      <c r="D23" s="524">
        <f t="shared" si="5"/>
        <v>20</v>
      </c>
      <c r="E23" s="524">
        <f t="shared" si="5"/>
        <v>20</v>
      </c>
      <c r="F23" s="524">
        <f t="shared" si="5"/>
        <v>20</v>
      </c>
      <c r="G23" s="524">
        <f t="shared" si="5"/>
        <v>20</v>
      </c>
      <c r="H23" s="524">
        <f t="shared" si="5"/>
        <v>20</v>
      </c>
      <c r="I23" s="524">
        <f t="shared" si="5"/>
        <v>20</v>
      </c>
      <c r="J23" s="524">
        <f t="shared" si="5"/>
        <v>20</v>
      </c>
      <c r="K23" s="524">
        <f t="shared" si="5"/>
        <v>20</v>
      </c>
      <c r="L23" s="524">
        <f t="shared" si="5"/>
        <v>20</v>
      </c>
      <c r="M23" s="524">
        <f t="shared" si="5"/>
        <v>20</v>
      </c>
      <c r="N23" s="524">
        <f t="shared" si="5"/>
        <v>20</v>
      </c>
      <c r="O23" s="524">
        <f t="shared" si="5"/>
        <v>20</v>
      </c>
      <c r="P23" s="524">
        <f t="shared" si="5"/>
        <v>20</v>
      </c>
      <c r="Q23" s="524">
        <f t="shared" si="5"/>
        <v>20</v>
      </c>
      <c r="R23" s="524">
        <f t="shared" si="5"/>
        <v>20</v>
      </c>
      <c r="S23" s="524">
        <f t="shared" si="5"/>
        <v>20</v>
      </c>
      <c r="T23" s="524">
        <f t="shared" si="5"/>
        <v>20</v>
      </c>
      <c r="U23" s="524">
        <f t="shared" si="5"/>
        <v>20</v>
      </c>
      <c r="V23" s="524">
        <f t="shared" si="5"/>
        <v>20</v>
      </c>
      <c r="W23" s="524">
        <f t="shared" si="5"/>
        <v>20</v>
      </c>
      <c r="X23" s="524">
        <f t="shared" si="5"/>
        <v>20</v>
      </c>
      <c r="Y23" s="524">
        <f t="shared" si="5"/>
        <v>20</v>
      </c>
      <c r="Z23" s="524">
        <f t="shared" si="5"/>
        <v>20</v>
      </c>
      <c r="AA23" s="524">
        <f t="shared" si="5"/>
        <v>20</v>
      </c>
      <c r="AB23" s="525">
        <f t="shared" si="5"/>
        <v>20</v>
      </c>
      <c r="AC23" s="107">
        <f t="shared" si="5"/>
        <v>20</v>
      </c>
      <c r="AD23" s="525">
        <f t="shared" si="5"/>
        <v>20</v>
      </c>
      <c r="AE23" s="525">
        <f t="shared" si="5"/>
        <v>20</v>
      </c>
      <c r="AF23" s="525">
        <f t="shared" si="5"/>
        <v>20</v>
      </c>
      <c r="AG23" s="525">
        <f t="shared" si="5"/>
        <v>20</v>
      </c>
      <c r="AH23" s="525">
        <f t="shared" si="5"/>
        <v>20</v>
      </c>
      <c r="AI23" s="525">
        <f t="shared" si="5"/>
        <v>20</v>
      </c>
      <c r="AJ23" s="525">
        <f t="shared" si="5"/>
        <v>20</v>
      </c>
      <c r="AK23" s="525">
        <f t="shared" si="5"/>
        <v>20</v>
      </c>
      <c r="AL23" s="525">
        <f t="shared" si="5"/>
        <v>20</v>
      </c>
      <c r="AM23" s="525">
        <f t="shared" si="5"/>
        <v>20</v>
      </c>
      <c r="AN23" s="525">
        <f t="shared" si="5"/>
        <v>20</v>
      </c>
      <c r="AO23" s="525">
        <f t="shared" si="5"/>
        <v>20</v>
      </c>
      <c r="AP23" s="526">
        <f t="shared" si="5"/>
        <v>20</v>
      </c>
      <c r="AQ23" s="527">
        <f t="shared" si="5"/>
        <v>20</v>
      </c>
    </row>
    <row r="24" spans="1:43" s="17" customFormat="1" x14ac:dyDescent="0.2">
      <c r="A24" s="515" t="s">
        <v>126</v>
      </c>
      <c r="B24" s="524">
        <f t="shared" ref="B24:AQ24" si="6">IF(ISBLANK(B102),0,$B$10)</f>
        <v>0</v>
      </c>
      <c r="C24" s="524">
        <f t="shared" si="6"/>
        <v>0</v>
      </c>
      <c r="D24" s="524">
        <f t="shared" si="6"/>
        <v>0</v>
      </c>
      <c r="E24" s="524">
        <f t="shared" si="6"/>
        <v>0</v>
      </c>
      <c r="F24" s="524">
        <f t="shared" si="6"/>
        <v>0</v>
      </c>
      <c r="G24" s="524">
        <f t="shared" si="6"/>
        <v>0</v>
      </c>
      <c r="H24" s="524">
        <f t="shared" si="6"/>
        <v>0</v>
      </c>
      <c r="I24" s="524">
        <f t="shared" si="6"/>
        <v>0</v>
      </c>
      <c r="J24" s="524">
        <f t="shared" si="6"/>
        <v>0</v>
      </c>
      <c r="K24" s="524">
        <f t="shared" si="6"/>
        <v>0</v>
      </c>
      <c r="L24" s="524">
        <f t="shared" si="6"/>
        <v>0</v>
      </c>
      <c r="M24" s="524">
        <f t="shared" si="6"/>
        <v>0</v>
      </c>
      <c r="N24" s="524">
        <f t="shared" si="6"/>
        <v>0</v>
      </c>
      <c r="O24" s="524">
        <f t="shared" si="6"/>
        <v>0</v>
      </c>
      <c r="P24" s="524">
        <f t="shared" si="6"/>
        <v>0</v>
      </c>
      <c r="Q24" s="524">
        <f t="shared" si="6"/>
        <v>0</v>
      </c>
      <c r="R24" s="524">
        <f t="shared" si="6"/>
        <v>295.2</v>
      </c>
      <c r="S24" s="524">
        <f t="shared" si="6"/>
        <v>295.2</v>
      </c>
      <c r="T24" s="524">
        <f t="shared" si="6"/>
        <v>295.2</v>
      </c>
      <c r="U24" s="524">
        <f t="shared" si="6"/>
        <v>295.2</v>
      </c>
      <c r="V24" s="524">
        <f t="shared" si="6"/>
        <v>295.2</v>
      </c>
      <c r="W24" s="524">
        <f t="shared" si="6"/>
        <v>295.2</v>
      </c>
      <c r="X24" s="524">
        <f t="shared" si="6"/>
        <v>0</v>
      </c>
      <c r="Y24" s="524">
        <f t="shared" si="6"/>
        <v>0</v>
      </c>
      <c r="Z24" s="524">
        <f t="shared" si="6"/>
        <v>0</v>
      </c>
      <c r="AA24" s="524">
        <f t="shared" si="6"/>
        <v>0</v>
      </c>
      <c r="AB24" s="525">
        <f t="shared" si="6"/>
        <v>0</v>
      </c>
      <c r="AC24" s="107">
        <f t="shared" si="6"/>
        <v>295.2</v>
      </c>
      <c r="AD24" s="525">
        <f t="shared" si="6"/>
        <v>295.2</v>
      </c>
      <c r="AE24" s="525">
        <f t="shared" si="6"/>
        <v>295.2</v>
      </c>
      <c r="AF24" s="525">
        <f t="shared" si="6"/>
        <v>295.2</v>
      </c>
      <c r="AG24" s="525">
        <f t="shared" si="6"/>
        <v>295.2</v>
      </c>
      <c r="AH24" s="525">
        <f t="shared" si="6"/>
        <v>295.2</v>
      </c>
      <c r="AI24" s="525">
        <f t="shared" si="6"/>
        <v>295.2</v>
      </c>
      <c r="AJ24" s="525">
        <f t="shared" si="6"/>
        <v>295.2</v>
      </c>
      <c r="AK24" s="525">
        <f t="shared" si="6"/>
        <v>295.2</v>
      </c>
      <c r="AL24" s="525">
        <f t="shared" si="6"/>
        <v>295.2</v>
      </c>
      <c r="AM24" s="525">
        <f t="shared" si="6"/>
        <v>295.2</v>
      </c>
      <c r="AN24" s="525">
        <f t="shared" si="6"/>
        <v>295.2</v>
      </c>
      <c r="AO24" s="525">
        <f t="shared" si="6"/>
        <v>295.2</v>
      </c>
      <c r="AP24" s="526">
        <f t="shared" si="6"/>
        <v>295.2</v>
      </c>
      <c r="AQ24" s="527">
        <f t="shared" si="6"/>
        <v>0</v>
      </c>
    </row>
    <row r="25" spans="1:43" s="17" customFormat="1" x14ac:dyDescent="0.2">
      <c r="A25" s="515" t="s">
        <v>127</v>
      </c>
      <c r="B25" s="520">
        <f>B21*$B$5+SUM(B23:B24)</f>
        <v>300</v>
      </c>
      <c r="C25" s="520">
        <f t="shared" ref="C25:AP25" si="7">C21*$B$5+SUM(C23:C24)</f>
        <v>300</v>
      </c>
      <c r="D25" s="520">
        <f t="shared" si="7"/>
        <v>300</v>
      </c>
      <c r="E25" s="520">
        <f t="shared" si="7"/>
        <v>300</v>
      </c>
      <c r="F25" s="520">
        <f t="shared" si="7"/>
        <v>300</v>
      </c>
      <c r="G25" s="520">
        <f t="shared" si="7"/>
        <v>300</v>
      </c>
      <c r="H25" s="520">
        <f t="shared" si="7"/>
        <v>328</v>
      </c>
      <c r="I25" s="520">
        <f t="shared" si="7"/>
        <v>356</v>
      </c>
      <c r="J25" s="520">
        <f t="shared" si="7"/>
        <v>384</v>
      </c>
      <c r="K25" s="520">
        <f t="shared" si="7"/>
        <v>412</v>
      </c>
      <c r="L25" s="520">
        <f t="shared" si="7"/>
        <v>412</v>
      </c>
      <c r="M25" s="520">
        <f t="shared" si="7"/>
        <v>412</v>
      </c>
      <c r="N25" s="520">
        <f t="shared" si="7"/>
        <v>412</v>
      </c>
      <c r="O25" s="520">
        <f t="shared" si="7"/>
        <v>412</v>
      </c>
      <c r="P25" s="520">
        <f t="shared" si="7"/>
        <v>412</v>
      </c>
      <c r="Q25" s="520">
        <f t="shared" si="7"/>
        <v>244</v>
      </c>
      <c r="R25" s="520">
        <f t="shared" si="7"/>
        <v>763.2</v>
      </c>
      <c r="S25" s="520">
        <f t="shared" si="7"/>
        <v>763.2</v>
      </c>
      <c r="T25" s="520">
        <f t="shared" si="7"/>
        <v>763.2</v>
      </c>
      <c r="U25" s="520">
        <f t="shared" si="7"/>
        <v>763.2</v>
      </c>
      <c r="V25" s="520">
        <f t="shared" si="7"/>
        <v>763.2</v>
      </c>
      <c r="W25" s="520">
        <f t="shared" si="7"/>
        <v>707.2</v>
      </c>
      <c r="X25" s="520">
        <f t="shared" si="7"/>
        <v>244</v>
      </c>
      <c r="Y25" s="520">
        <f t="shared" si="7"/>
        <v>356</v>
      </c>
      <c r="Z25" s="520">
        <f t="shared" si="7"/>
        <v>356</v>
      </c>
      <c r="AA25" s="520">
        <f t="shared" si="7"/>
        <v>356</v>
      </c>
      <c r="AB25" s="521">
        <f t="shared" si="7"/>
        <v>356</v>
      </c>
      <c r="AC25" s="106">
        <f t="shared" si="7"/>
        <v>595.20000000000005</v>
      </c>
      <c r="AD25" s="521">
        <f t="shared" si="7"/>
        <v>623.20000000000005</v>
      </c>
      <c r="AE25" s="521">
        <f t="shared" si="7"/>
        <v>651.20000000000005</v>
      </c>
      <c r="AF25" s="521">
        <f t="shared" si="7"/>
        <v>679.2</v>
      </c>
      <c r="AG25" s="521">
        <f t="shared" si="7"/>
        <v>707.2</v>
      </c>
      <c r="AH25" s="521">
        <f t="shared" si="7"/>
        <v>707.2</v>
      </c>
      <c r="AI25" s="521">
        <f t="shared" si="7"/>
        <v>707.2</v>
      </c>
      <c r="AJ25" s="521">
        <f t="shared" si="7"/>
        <v>707.2</v>
      </c>
      <c r="AK25" s="521">
        <f t="shared" si="7"/>
        <v>707.2</v>
      </c>
      <c r="AL25" s="521">
        <f t="shared" si="7"/>
        <v>707.2</v>
      </c>
      <c r="AM25" s="521">
        <f t="shared" si="7"/>
        <v>651.20000000000005</v>
      </c>
      <c r="AN25" s="521">
        <f t="shared" si="7"/>
        <v>651.20000000000005</v>
      </c>
      <c r="AO25" s="521">
        <f t="shared" si="7"/>
        <v>651.20000000000005</v>
      </c>
      <c r="AP25" s="522">
        <f t="shared" si="7"/>
        <v>651.20000000000005</v>
      </c>
      <c r="AQ25" s="523">
        <f t="shared" ref="AQ25" si="8">AQ21*$B$5+SUM(AQ23:AQ24)</f>
        <v>244</v>
      </c>
    </row>
    <row r="26" spans="1:43" s="17" customFormat="1" x14ac:dyDescent="0.2">
      <c r="A26" s="18" t="s">
        <v>128</v>
      </c>
      <c r="B26" s="19">
        <f t="shared" ref="B26:AQ26" si="9">-IF(ISBLANK(B101),0,MIN(B$22*$H$10,B$22-$B$7*$H$9))</f>
        <v>-56</v>
      </c>
      <c r="C26" s="19">
        <f t="shared" si="9"/>
        <v>-56</v>
      </c>
      <c r="D26" s="19">
        <f t="shared" si="9"/>
        <v>-56</v>
      </c>
      <c r="E26" s="19">
        <f t="shared" si="9"/>
        <v>0</v>
      </c>
      <c r="F26" s="19">
        <f t="shared" si="9"/>
        <v>-56</v>
      </c>
      <c r="G26" s="19">
        <f t="shared" si="9"/>
        <v>-56</v>
      </c>
      <c r="H26" s="19">
        <f t="shared" si="9"/>
        <v>-84</v>
      </c>
      <c r="I26" s="19">
        <f t="shared" si="9"/>
        <v>-96.431999999999988</v>
      </c>
      <c r="J26" s="19">
        <f t="shared" si="9"/>
        <v>0</v>
      </c>
      <c r="K26" s="19">
        <f t="shared" si="9"/>
        <v>0</v>
      </c>
      <c r="L26" s="19">
        <f t="shared" si="9"/>
        <v>0</v>
      </c>
      <c r="M26" s="19">
        <f t="shared" si="9"/>
        <v>0</v>
      </c>
      <c r="N26" s="19">
        <f t="shared" si="9"/>
        <v>-112.50399999999999</v>
      </c>
      <c r="O26" s="19">
        <f t="shared" si="9"/>
        <v>-112.50399999999999</v>
      </c>
      <c r="P26" s="19">
        <f t="shared" si="9"/>
        <v>0</v>
      </c>
      <c r="Q26" s="19">
        <f t="shared" si="9"/>
        <v>0</v>
      </c>
      <c r="R26" s="19">
        <f t="shared" si="9"/>
        <v>0</v>
      </c>
      <c r="S26" s="19">
        <f t="shared" si="9"/>
        <v>0</v>
      </c>
      <c r="T26" s="19">
        <f t="shared" si="9"/>
        <v>0</v>
      </c>
      <c r="U26" s="19">
        <f t="shared" si="9"/>
        <v>0</v>
      </c>
      <c r="V26" s="19">
        <f t="shared" si="9"/>
        <v>0</v>
      </c>
      <c r="W26" s="19">
        <f t="shared" si="9"/>
        <v>0</v>
      </c>
      <c r="X26" s="19">
        <f t="shared" si="9"/>
        <v>0</v>
      </c>
      <c r="Y26" s="19">
        <f t="shared" si="9"/>
        <v>-96.431999999999988</v>
      </c>
      <c r="Z26" s="19">
        <f t="shared" si="9"/>
        <v>-96.431999999999988</v>
      </c>
      <c r="AA26" s="19">
        <f t="shared" si="9"/>
        <v>-96.431999999999988</v>
      </c>
      <c r="AB26" s="84">
        <f t="shared" si="9"/>
        <v>-96.431999999999988</v>
      </c>
      <c r="AC26" s="108">
        <f t="shared" si="9"/>
        <v>0</v>
      </c>
      <c r="AD26" s="84">
        <f t="shared" si="9"/>
        <v>0</v>
      </c>
      <c r="AE26" s="84">
        <f t="shared" si="9"/>
        <v>0</v>
      </c>
      <c r="AF26" s="84">
        <f t="shared" si="9"/>
        <v>0</v>
      </c>
      <c r="AG26" s="84">
        <f t="shared" si="9"/>
        <v>0</v>
      </c>
      <c r="AH26" s="84">
        <f t="shared" si="9"/>
        <v>0</v>
      </c>
      <c r="AI26" s="84">
        <f t="shared" si="9"/>
        <v>0</v>
      </c>
      <c r="AJ26" s="84">
        <f t="shared" si="9"/>
        <v>0</v>
      </c>
      <c r="AK26" s="84">
        <f t="shared" si="9"/>
        <v>0</v>
      </c>
      <c r="AL26" s="84">
        <f t="shared" si="9"/>
        <v>0</v>
      </c>
      <c r="AM26" s="84">
        <f t="shared" si="9"/>
        <v>0</v>
      </c>
      <c r="AN26" s="84">
        <f t="shared" si="9"/>
        <v>0</v>
      </c>
      <c r="AO26" s="84">
        <f t="shared" si="9"/>
        <v>0</v>
      </c>
      <c r="AP26" s="109">
        <f t="shared" si="9"/>
        <v>0</v>
      </c>
      <c r="AQ26" s="117">
        <f t="shared" si="9"/>
        <v>0</v>
      </c>
    </row>
    <row r="27" spans="1:43" s="17" customFormat="1" x14ac:dyDescent="0.2">
      <c r="A27" s="515" t="s">
        <v>129</v>
      </c>
      <c r="B27" s="19">
        <f t="shared" ref="B27:AQ27" si="10">SUM(B25:B26)</f>
        <v>244</v>
      </c>
      <c r="C27" s="19">
        <f t="shared" si="10"/>
        <v>244</v>
      </c>
      <c r="D27" s="19">
        <f t="shared" si="10"/>
        <v>244</v>
      </c>
      <c r="E27" s="19">
        <f t="shared" si="10"/>
        <v>300</v>
      </c>
      <c r="F27" s="19">
        <f t="shared" si="10"/>
        <v>244</v>
      </c>
      <c r="G27" s="19">
        <f t="shared" si="10"/>
        <v>244</v>
      </c>
      <c r="H27" s="19">
        <f t="shared" si="10"/>
        <v>244</v>
      </c>
      <c r="I27" s="19">
        <f t="shared" si="10"/>
        <v>259.56799999999998</v>
      </c>
      <c r="J27" s="19">
        <f t="shared" si="10"/>
        <v>384</v>
      </c>
      <c r="K27" s="19">
        <f t="shared" si="10"/>
        <v>412</v>
      </c>
      <c r="L27" s="19">
        <f t="shared" si="10"/>
        <v>412</v>
      </c>
      <c r="M27" s="19">
        <f t="shared" si="10"/>
        <v>412</v>
      </c>
      <c r="N27" s="19">
        <f t="shared" si="10"/>
        <v>299.49599999999998</v>
      </c>
      <c r="O27" s="19">
        <f t="shared" si="10"/>
        <v>299.49599999999998</v>
      </c>
      <c r="P27" s="19">
        <f t="shared" si="10"/>
        <v>412</v>
      </c>
      <c r="Q27" s="19">
        <f t="shared" si="10"/>
        <v>244</v>
      </c>
      <c r="R27" s="19">
        <f t="shared" si="10"/>
        <v>763.2</v>
      </c>
      <c r="S27" s="19">
        <f t="shared" si="10"/>
        <v>763.2</v>
      </c>
      <c r="T27" s="19">
        <f t="shared" si="10"/>
        <v>763.2</v>
      </c>
      <c r="U27" s="19">
        <f t="shared" si="10"/>
        <v>763.2</v>
      </c>
      <c r="V27" s="19">
        <f t="shared" si="10"/>
        <v>763.2</v>
      </c>
      <c r="W27" s="19">
        <f t="shared" si="10"/>
        <v>707.2</v>
      </c>
      <c r="X27" s="19">
        <f t="shared" si="10"/>
        <v>244</v>
      </c>
      <c r="Y27" s="19">
        <f t="shared" si="10"/>
        <v>259.56799999999998</v>
      </c>
      <c r="Z27" s="19">
        <f t="shared" si="10"/>
        <v>259.56799999999998</v>
      </c>
      <c r="AA27" s="19">
        <f t="shared" si="10"/>
        <v>259.56799999999998</v>
      </c>
      <c r="AB27" s="84">
        <f t="shared" si="10"/>
        <v>259.56799999999998</v>
      </c>
      <c r="AC27" s="108">
        <f t="shared" si="10"/>
        <v>595.20000000000005</v>
      </c>
      <c r="AD27" s="84">
        <f t="shared" si="10"/>
        <v>623.20000000000005</v>
      </c>
      <c r="AE27" s="84">
        <f t="shared" si="10"/>
        <v>651.20000000000005</v>
      </c>
      <c r="AF27" s="84">
        <f t="shared" si="10"/>
        <v>679.2</v>
      </c>
      <c r="AG27" s="84">
        <f t="shared" si="10"/>
        <v>707.2</v>
      </c>
      <c r="AH27" s="84">
        <f t="shared" si="10"/>
        <v>707.2</v>
      </c>
      <c r="AI27" s="84">
        <f t="shared" si="10"/>
        <v>707.2</v>
      </c>
      <c r="AJ27" s="84">
        <f t="shared" si="10"/>
        <v>707.2</v>
      </c>
      <c r="AK27" s="84">
        <f t="shared" si="10"/>
        <v>707.2</v>
      </c>
      <c r="AL27" s="84">
        <f t="shared" si="10"/>
        <v>707.2</v>
      </c>
      <c r="AM27" s="84">
        <f t="shared" si="10"/>
        <v>651.20000000000005</v>
      </c>
      <c r="AN27" s="84">
        <f t="shared" si="10"/>
        <v>651.20000000000005</v>
      </c>
      <c r="AO27" s="84">
        <f t="shared" si="10"/>
        <v>651.20000000000005</v>
      </c>
      <c r="AP27" s="109">
        <f t="shared" si="10"/>
        <v>651.20000000000005</v>
      </c>
      <c r="AQ27" s="117">
        <f t="shared" si="10"/>
        <v>244</v>
      </c>
    </row>
    <row r="28" spans="1:43" s="17" customFormat="1" x14ac:dyDescent="0.2">
      <c r="A28" s="18" t="s">
        <v>130</v>
      </c>
      <c r="B28" s="19">
        <f>AVERAGE(AA22:AB22,B22)</f>
        <v>317.33333333333331</v>
      </c>
      <c r="C28" s="19">
        <f>AVERAGE(AB22,B22:C22)</f>
        <v>298.66666666666669</v>
      </c>
      <c r="D28" s="19">
        <f t="shared" ref="D28:AP28" si="11">AVERAGE(B22:D22)</f>
        <v>280</v>
      </c>
      <c r="E28" s="19">
        <f t="shared" si="11"/>
        <v>280</v>
      </c>
      <c r="F28" s="19">
        <f t="shared" si="11"/>
        <v>280</v>
      </c>
      <c r="G28" s="19">
        <f t="shared" si="11"/>
        <v>280</v>
      </c>
      <c r="H28" s="19">
        <f t="shared" si="11"/>
        <v>289.33333333333331</v>
      </c>
      <c r="I28" s="19">
        <f t="shared" si="11"/>
        <v>308</v>
      </c>
      <c r="J28" s="19">
        <f t="shared" si="11"/>
        <v>336</v>
      </c>
      <c r="K28" s="19">
        <f t="shared" si="11"/>
        <v>364</v>
      </c>
      <c r="L28" s="19">
        <f t="shared" si="11"/>
        <v>382.66666666666669</v>
      </c>
      <c r="M28" s="19">
        <f t="shared" si="11"/>
        <v>392</v>
      </c>
      <c r="N28" s="19">
        <f t="shared" si="11"/>
        <v>392</v>
      </c>
      <c r="O28" s="19">
        <f t="shared" si="11"/>
        <v>392</v>
      </c>
      <c r="P28" s="19">
        <f t="shared" si="11"/>
        <v>392</v>
      </c>
      <c r="Q28" s="19">
        <f t="shared" si="11"/>
        <v>336</v>
      </c>
      <c r="R28" s="19">
        <f t="shared" si="11"/>
        <v>354.66666666666669</v>
      </c>
      <c r="S28" s="19">
        <f t="shared" si="11"/>
        <v>373.33333333333331</v>
      </c>
      <c r="T28" s="19">
        <f t="shared" si="11"/>
        <v>448</v>
      </c>
      <c r="U28" s="19">
        <f t="shared" si="11"/>
        <v>448</v>
      </c>
      <c r="V28" s="19">
        <f t="shared" si="11"/>
        <v>448</v>
      </c>
      <c r="W28" s="19">
        <f t="shared" si="11"/>
        <v>429.33333333333331</v>
      </c>
      <c r="X28" s="19">
        <f t="shared" si="11"/>
        <v>354.66666666666669</v>
      </c>
      <c r="Y28" s="19">
        <f t="shared" si="11"/>
        <v>317.33333333333331</v>
      </c>
      <c r="Z28" s="19">
        <f t="shared" si="11"/>
        <v>298.66666666666669</v>
      </c>
      <c r="AA28" s="19">
        <f t="shared" si="11"/>
        <v>336</v>
      </c>
      <c r="AB28" s="84">
        <f t="shared" si="11"/>
        <v>336</v>
      </c>
      <c r="AC28" s="108">
        <f t="shared" si="11"/>
        <v>317.33333333333331</v>
      </c>
      <c r="AD28" s="84">
        <f t="shared" si="11"/>
        <v>308</v>
      </c>
      <c r="AE28" s="84">
        <f t="shared" si="11"/>
        <v>308</v>
      </c>
      <c r="AF28" s="84">
        <f t="shared" si="11"/>
        <v>336</v>
      </c>
      <c r="AG28" s="84">
        <f t="shared" si="11"/>
        <v>364</v>
      </c>
      <c r="AH28" s="84">
        <f t="shared" si="11"/>
        <v>382.66666666666669</v>
      </c>
      <c r="AI28" s="84">
        <f t="shared" si="11"/>
        <v>392</v>
      </c>
      <c r="AJ28" s="84">
        <f t="shared" si="11"/>
        <v>392</v>
      </c>
      <c r="AK28" s="84">
        <f t="shared" si="11"/>
        <v>392</v>
      </c>
      <c r="AL28" s="84">
        <f t="shared" si="11"/>
        <v>392</v>
      </c>
      <c r="AM28" s="84">
        <f t="shared" si="11"/>
        <v>373.33333333333331</v>
      </c>
      <c r="AN28" s="84">
        <f t="shared" si="11"/>
        <v>354.66666666666669</v>
      </c>
      <c r="AO28" s="84">
        <f t="shared" si="11"/>
        <v>336</v>
      </c>
      <c r="AP28" s="109">
        <f t="shared" si="11"/>
        <v>336</v>
      </c>
      <c r="AQ28" s="117" t="s">
        <v>131</v>
      </c>
    </row>
    <row r="29" spans="1:43" s="17" customFormat="1" x14ac:dyDescent="0.2">
      <c r="A29" s="245" t="s">
        <v>132</v>
      </c>
      <c r="B29" s="84"/>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2"/>
      <c r="AD29" s="243"/>
      <c r="AE29" s="243"/>
      <c r="AF29" s="243"/>
      <c r="AG29" s="243"/>
      <c r="AH29" s="243"/>
      <c r="AI29" s="243"/>
      <c r="AJ29" s="243"/>
      <c r="AK29" s="243"/>
      <c r="AL29" s="243"/>
      <c r="AM29" s="243"/>
      <c r="AN29" s="243"/>
      <c r="AO29" s="243"/>
      <c r="AP29" s="244"/>
      <c r="AQ29" s="117"/>
    </row>
    <row r="30" spans="1:43" s="17" customFormat="1" x14ac:dyDescent="0.2">
      <c r="A30" s="18" t="s">
        <v>133</v>
      </c>
      <c r="B30" s="246">
        <f t="shared" ref="B30:AQ30" si="12">IF(ISBLANK(B101),0,$B$11)</f>
        <v>72</v>
      </c>
      <c r="C30" s="246">
        <f t="shared" si="12"/>
        <v>72</v>
      </c>
      <c r="D30" s="246">
        <f t="shared" si="12"/>
        <v>72</v>
      </c>
      <c r="E30" s="246">
        <f t="shared" si="12"/>
        <v>0</v>
      </c>
      <c r="F30" s="246">
        <f t="shared" si="12"/>
        <v>72</v>
      </c>
      <c r="G30" s="246">
        <f t="shared" si="12"/>
        <v>72</v>
      </c>
      <c r="H30" s="246">
        <f t="shared" si="12"/>
        <v>72</v>
      </c>
      <c r="I30" s="246">
        <f t="shared" si="12"/>
        <v>72</v>
      </c>
      <c r="J30" s="246">
        <f t="shared" si="12"/>
        <v>0</v>
      </c>
      <c r="K30" s="246">
        <f t="shared" si="12"/>
        <v>0</v>
      </c>
      <c r="L30" s="246">
        <f t="shared" si="12"/>
        <v>0</v>
      </c>
      <c r="M30" s="246">
        <f t="shared" si="12"/>
        <v>0</v>
      </c>
      <c r="N30" s="246">
        <f t="shared" si="12"/>
        <v>72</v>
      </c>
      <c r="O30" s="246">
        <f t="shared" si="12"/>
        <v>72</v>
      </c>
      <c r="P30" s="246">
        <f t="shared" si="12"/>
        <v>0</v>
      </c>
      <c r="Q30" s="246">
        <f t="shared" si="12"/>
        <v>0</v>
      </c>
      <c r="R30" s="246">
        <f t="shared" si="12"/>
        <v>0</v>
      </c>
      <c r="S30" s="246">
        <f t="shared" si="12"/>
        <v>0</v>
      </c>
      <c r="T30" s="246">
        <f t="shared" si="12"/>
        <v>0</v>
      </c>
      <c r="U30" s="246">
        <f t="shared" si="12"/>
        <v>0</v>
      </c>
      <c r="V30" s="246">
        <f t="shared" si="12"/>
        <v>0</v>
      </c>
      <c r="W30" s="246">
        <f t="shared" si="12"/>
        <v>0</v>
      </c>
      <c r="X30" s="246">
        <f t="shared" si="12"/>
        <v>0</v>
      </c>
      <c r="Y30" s="246">
        <f t="shared" si="12"/>
        <v>72</v>
      </c>
      <c r="Z30" s="246">
        <f t="shared" si="12"/>
        <v>72</v>
      </c>
      <c r="AA30" s="246">
        <f t="shared" si="12"/>
        <v>72</v>
      </c>
      <c r="AB30" s="247">
        <f t="shared" si="12"/>
        <v>72</v>
      </c>
      <c r="AC30" s="198">
        <f t="shared" si="12"/>
        <v>0</v>
      </c>
      <c r="AD30" s="520">
        <f t="shared" si="12"/>
        <v>0</v>
      </c>
      <c r="AE30" s="520">
        <f t="shared" si="12"/>
        <v>0</v>
      </c>
      <c r="AF30" s="520">
        <f t="shared" si="12"/>
        <v>0</v>
      </c>
      <c r="AG30" s="520">
        <f t="shared" si="12"/>
        <v>0</v>
      </c>
      <c r="AH30" s="520">
        <f t="shared" si="12"/>
        <v>0</v>
      </c>
      <c r="AI30" s="520">
        <f t="shared" si="12"/>
        <v>0</v>
      </c>
      <c r="AJ30" s="520">
        <f t="shared" si="12"/>
        <v>0</v>
      </c>
      <c r="AK30" s="520">
        <f t="shared" si="12"/>
        <v>0</v>
      </c>
      <c r="AL30" s="520">
        <f t="shared" si="12"/>
        <v>0</v>
      </c>
      <c r="AM30" s="520">
        <f t="shared" si="12"/>
        <v>0</v>
      </c>
      <c r="AN30" s="520">
        <f t="shared" si="12"/>
        <v>0</v>
      </c>
      <c r="AO30" s="520">
        <f t="shared" si="12"/>
        <v>0</v>
      </c>
      <c r="AP30" s="522">
        <f t="shared" si="12"/>
        <v>0</v>
      </c>
      <c r="AQ30" s="117">
        <f t="shared" si="12"/>
        <v>72</v>
      </c>
    </row>
    <row r="31" spans="1:43" s="17" customFormat="1" ht="12.75" x14ac:dyDescent="0.2">
      <c r="A31" s="528" t="s">
        <v>134</v>
      </c>
      <c r="B31" s="529"/>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93"/>
      <c r="AD31" s="30"/>
      <c r="AE31" s="30"/>
      <c r="AF31" s="30"/>
      <c r="AG31" s="30"/>
      <c r="AH31" s="30"/>
      <c r="AI31" s="30"/>
      <c r="AJ31" s="30"/>
      <c r="AK31" s="30"/>
      <c r="AL31" s="30"/>
      <c r="AM31" s="30"/>
      <c r="AN31" s="30"/>
      <c r="AO31" s="30"/>
      <c r="AP31" s="94"/>
      <c r="AQ31" s="531"/>
    </row>
    <row r="32" spans="1:43" s="17" customFormat="1" x14ac:dyDescent="0.2">
      <c r="A32" s="488" t="s">
        <v>135</v>
      </c>
      <c r="B32" s="508">
        <v>0.7</v>
      </c>
      <c r="C32" s="508">
        <v>0.7</v>
      </c>
      <c r="D32" s="508">
        <v>0.7</v>
      </c>
      <c r="E32" s="508">
        <v>0.7</v>
      </c>
      <c r="F32" s="508">
        <v>0.7</v>
      </c>
      <c r="G32" s="508">
        <v>0.7</v>
      </c>
      <c r="H32" s="508">
        <v>0.8</v>
      </c>
      <c r="I32" s="508">
        <v>0.8</v>
      </c>
      <c r="J32" s="508">
        <v>0.8</v>
      </c>
      <c r="K32" s="508">
        <v>0.9</v>
      </c>
      <c r="L32" s="508">
        <v>0.9</v>
      </c>
      <c r="M32" s="508">
        <v>0.9</v>
      </c>
      <c r="N32" s="508">
        <v>1</v>
      </c>
      <c r="O32" s="508">
        <v>1</v>
      </c>
      <c r="P32" s="508">
        <v>1</v>
      </c>
      <c r="Q32" s="508">
        <v>1</v>
      </c>
      <c r="R32" s="508">
        <v>1</v>
      </c>
      <c r="S32" s="508">
        <v>1</v>
      </c>
      <c r="T32" s="508">
        <v>1</v>
      </c>
      <c r="U32" s="508">
        <v>1</v>
      </c>
      <c r="V32" s="508">
        <v>1</v>
      </c>
      <c r="W32" s="508">
        <v>1</v>
      </c>
      <c r="X32" s="508">
        <v>1</v>
      </c>
      <c r="Y32" s="508">
        <v>1</v>
      </c>
      <c r="Z32" s="508">
        <v>1</v>
      </c>
      <c r="AA32" s="508">
        <v>1</v>
      </c>
      <c r="AB32" s="509">
        <v>1</v>
      </c>
      <c r="AC32" s="92">
        <v>0.7</v>
      </c>
      <c r="AD32" s="508">
        <v>0.8</v>
      </c>
      <c r="AE32" s="508">
        <v>0.8</v>
      </c>
      <c r="AF32" s="508">
        <v>0.8</v>
      </c>
      <c r="AG32" s="508">
        <v>0.9</v>
      </c>
      <c r="AH32" s="508">
        <v>0.9</v>
      </c>
      <c r="AI32" s="508">
        <v>0.9</v>
      </c>
      <c r="AJ32" s="508">
        <v>1</v>
      </c>
      <c r="AK32" s="508">
        <v>1</v>
      </c>
      <c r="AL32" s="508">
        <v>1</v>
      </c>
      <c r="AM32" s="508">
        <v>1</v>
      </c>
      <c r="AN32" s="508">
        <v>1</v>
      </c>
      <c r="AO32" s="508">
        <v>1</v>
      </c>
      <c r="AP32" s="510">
        <v>1</v>
      </c>
      <c r="AQ32" s="511">
        <v>0.7</v>
      </c>
    </row>
    <row r="33" spans="1:43" s="17" customFormat="1" x14ac:dyDescent="0.2">
      <c r="A33" s="488" t="s">
        <v>136</v>
      </c>
      <c r="B33" s="532">
        <f>B32*0.8</f>
        <v>0.55999999999999994</v>
      </c>
      <c r="C33" s="532">
        <f t="shared" ref="C33:AB33" si="13">C32*0.8</f>
        <v>0.55999999999999994</v>
      </c>
      <c r="D33" s="532">
        <f t="shared" si="13"/>
        <v>0.55999999999999994</v>
      </c>
      <c r="E33" s="532">
        <f t="shared" si="13"/>
        <v>0.55999999999999994</v>
      </c>
      <c r="F33" s="532">
        <f t="shared" si="13"/>
        <v>0.55999999999999994</v>
      </c>
      <c r="G33" s="532">
        <f t="shared" si="13"/>
        <v>0.55999999999999994</v>
      </c>
      <c r="H33" s="532">
        <f t="shared" si="13"/>
        <v>0.64000000000000012</v>
      </c>
      <c r="I33" s="532">
        <f t="shared" si="13"/>
        <v>0.64000000000000012</v>
      </c>
      <c r="J33" s="532">
        <f t="shared" si="13"/>
        <v>0.64000000000000012</v>
      </c>
      <c r="K33" s="532">
        <f t="shared" si="13"/>
        <v>0.72000000000000008</v>
      </c>
      <c r="L33" s="532">
        <f t="shared" si="13"/>
        <v>0.72000000000000008</v>
      </c>
      <c r="M33" s="532">
        <f t="shared" si="13"/>
        <v>0.72000000000000008</v>
      </c>
      <c r="N33" s="532">
        <f t="shared" si="13"/>
        <v>0.8</v>
      </c>
      <c r="O33" s="532">
        <f t="shared" si="13"/>
        <v>0.8</v>
      </c>
      <c r="P33" s="532">
        <f t="shared" si="13"/>
        <v>0.8</v>
      </c>
      <c r="Q33" s="532">
        <f t="shared" si="13"/>
        <v>0.8</v>
      </c>
      <c r="R33" s="532">
        <f t="shared" si="13"/>
        <v>0.8</v>
      </c>
      <c r="S33" s="532">
        <f t="shared" si="13"/>
        <v>0.8</v>
      </c>
      <c r="T33" s="532">
        <f t="shared" si="13"/>
        <v>0.8</v>
      </c>
      <c r="U33" s="532">
        <f t="shared" si="13"/>
        <v>0.8</v>
      </c>
      <c r="V33" s="532">
        <f t="shared" si="13"/>
        <v>0.8</v>
      </c>
      <c r="W33" s="532">
        <f t="shared" si="13"/>
        <v>0.8</v>
      </c>
      <c r="X33" s="532">
        <f t="shared" si="13"/>
        <v>0.8</v>
      </c>
      <c r="Y33" s="532">
        <f t="shared" si="13"/>
        <v>0.8</v>
      </c>
      <c r="Z33" s="532">
        <f t="shared" si="13"/>
        <v>0.8</v>
      </c>
      <c r="AA33" s="532">
        <f t="shared" si="13"/>
        <v>0.8</v>
      </c>
      <c r="AB33" s="533">
        <f t="shared" si="13"/>
        <v>0.8</v>
      </c>
      <c r="AC33" s="92">
        <v>0.56000000000000005</v>
      </c>
      <c r="AD33" s="508">
        <v>0.6</v>
      </c>
      <c r="AE33" s="508">
        <v>0.6</v>
      </c>
      <c r="AF33" s="508">
        <v>0.6</v>
      </c>
      <c r="AG33" s="508">
        <v>0.75</v>
      </c>
      <c r="AH33" s="508">
        <v>0.75</v>
      </c>
      <c r="AI33" s="508">
        <v>0.75</v>
      </c>
      <c r="AJ33" s="508">
        <v>0.75</v>
      </c>
      <c r="AK33" s="508">
        <v>0.75</v>
      </c>
      <c r="AL33" s="508">
        <v>0.75</v>
      </c>
      <c r="AM33" s="508">
        <v>0.5625</v>
      </c>
      <c r="AN33" s="508">
        <v>0.5625</v>
      </c>
      <c r="AO33" s="508">
        <v>0.5625</v>
      </c>
      <c r="AP33" s="510">
        <v>0.5625</v>
      </c>
      <c r="AQ33" s="534">
        <v>0.56000000000000005</v>
      </c>
    </row>
    <row r="34" spans="1:43" s="17" customFormat="1" x14ac:dyDescent="0.2">
      <c r="A34" s="488" t="s">
        <v>137</v>
      </c>
      <c r="B34" s="535">
        <f>((B36*$B$125)/$B$2)</f>
        <v>0.47401040073839146</v>
      </c>
      <c r="C34" s="532">
        <f t="shared" ref="C34:AQ34" si="14">((C36*$B$125)/$B$2)</f>
        <v>0.47401040073839146</v>
      </c>
      <c r="D34" s="532">
        <f t="shared" si="14"/>
        <v>0.47401040073839146</v>
      </c>
      <c r="E34" s="532">
        <f t="shared" si="14"/>
        <v>0.47401040073839146</v>
      </c>
      <c r="F34" s="532">
        <f t="shared" si="14"/>
        <v>0.47401040073839146</v>
      </c>
      <c r="G34" s="532">
        <f t="shared" si="14"/>
        <v>0.47401040073839146</v>
      </c>
      <c r="H34" s="532">
        <f t="shared" si="14"/>
        <v>0.54172617227244735</v>
      </c>
      <c r="I34" s="532">
        <f t="shared" si="14"/>
        <v>0.54172617227244735</v>
      </c>
      <c r="J34" s="532">
        <f t="shared" si="14"/>
        <v>0.54172617227244735</v>
      </c>
      <c r="K34" s="532">
        <f t="shared" si="14"/>
        <v>0.60944194380650329</v>
      </c>
      <c r="L34" s="532">
        <f t="shared" si="14"/>
        <v>0.60944194380650329</v>
      </c>
      <c r="M34" s="532">
        <f t="shared" si="14"/>
        <v>0.60944194380650329</v>
      </c>
      <c r="N34" s="532">
        <f t="shared" si="14"/>
        <v>0.67715771534055924</v>
      </c>
      <c r="O34" s="532">
        <f t="shared" si="14"/>
        <v>0.67715771534055924</v>
      </c>
      <c r="P34" s="532">
        <f t="shared" si="14"/>
        <v>0.67715771534055924</v>
      </c>
      <c r="Q34" s="532">
        <f t="shared" si="14"/>
        <v>0.67715771534055924</v>
      </c>
      <c r="R34" s="532">
        <f t="shared" si="14"/>
        <v>0.67715771534055924</v>
      </c>
      <c r="S34" s="532">
        <f t="shared" si="14"/>
        <v>0.67715771534055924</v>
      </c>
      <c r="T34" s="532">
        <f t="shared" si="14"/>
        <v>0.67715771534055924</v>
      </c>
      <c r="U34" s="532">
        <f t="shared" si="14"/>
        <v>0.67715771534055924</v>
      </c>
      <c r="V34" s="532">
        <f t="shared" si="14"/>
        <v>0.67715771534055924</v>
      </c>
      <c r="W34" s="532">
        <f t="shared" si="14"/>
        <v>0.67715771534055924</v>
      </c>
      <c r="X34" s="532">
        <f t="shared" si="14"/>
        <v>0.67715771534055924</v>
      </c>
      <c r="Y34" s="532">
        <f t="shared" si="14"/>
        <v>0.67715771534055924</v>
      </c>
      <c r="Z34" s="532">
        <f t="shared" si="14"/>
        <v>0.67715771534055924</v>
      </c>
      <c r="AA34" s="532">
        <f t="shared" si="14"/>
        <v>0.67715771534055924</v>
      </c>
      <c r="AB34" s="533">
        <f t="shared" si="14"/>
        <v>0.67715771534055924</v>
      </c>
      <c r="AC34" s="92">
        <f t="shared" si="14"/>
        <v>0.47401040073839146</v>
      </c>
      <c r="AD34" s="508">
        <f t="shared" si="14"/>
        <v>0.50786828650541938</v>
      </c>
      <c r="AE34" s="508">
        <f t="shared" si="14"/>
        <v>0.50786828650541938</v>
      </c>
      <c r="AF34" s="508">
        <f t="shared" si="14"/>
        <v>0.50786828650541938</v>
      </c>
      <c r="AG34" s="508">
        <f t="shared" si="14"/>
        <v>0.63483535813177427</v>
      </c>
      <c r="AH34" s="508">
        <f t="shared" si="14"/>
        <v>0.63483535813177427</v>
      </c>
      <c r="AI34" s="508">
        <f t="shared" si="14"/>
        <v>0.63483535813177427</v>
      </c>
      <c r="AJ34" s="508">
        <f t="shared" si="14"/>
        <v>0.63483535813177427</v>
      </c>
      <c r="AK34" s="508">
        <f t="shared" si="14"/>
        <v>0.63483535813177427</v>
      </c>
      <c r="AL34" s="508">
        <f t="shared" si="14"/>
        <v>0.63483535813177427</v>
      </c>
      <c r="AM34" s="508">
        <f t="shared" si="14"/>
        <v>0.47631889294977975</v>
      </c>
      <c r="AN34" s="508">
        <f t="shared" si="14"/>
        <v>0.47631889294977975</v>
      </c>
      <c r="AO34" s="508">
        <f t="shared" si="14"/>
        <v>0.47631889294977975</v>
      </c>
      <c r="AP34" s="510">
        <f t="shared" si="14"/>
        <v>0.47631889294977975</v>
      </c>
      <c r="AQ34" s="534">
        <f t="shared" si="14"/>
        <v>0.47401040073839146</v>
      </c>
    </row>
    <row r="35" spans="1:43" s="17" customFormat="1" x14ac:dyDescent="0.2">
      <c r="A35" s="536" t="s">
        <v>138</v>
      </c>
      <c r="B35" s="537">
        <f>ROUND($B$2*B32,2)</f>
        <v>7.7</v>
      </c>
      <c r="C35" s="537">
        <f t="shared" ref="C35:AP35" si="15">ROUND($B$2*C32,2)</f>
        <v>7.7</v>
      </c>
      <c r="D35" s="537">
        <f t="shared" si="15"/>
        <v>7.7</v>
      </c>
      <c r="E35" s="537">
        <f t="shared" si="15"/>
        <v>7.7</v>
      </c>
      <c r="F35" s="537">
        <f t="shared" si="15"/>
        <v>7.7</v>
      </c>
      <c r="G35" s="537">
        <f t="shared" si="15"/>
        <v>7.7</v>
      </c>
      <c r="H35" s="537">
        <f t="shared" si="15"/>
        <v>8.8000000000000007</v>
      </c>
      <c r="I35" s="537">
        <f t="shared" si="15"/>
        <v>8.8000000000000007</v>
      </c>
      <c r="J35" s="537">
        <f t="shared" si="15"/>
        <v>8.8000000000000007</v>
      </c>
      <c r="K35" s="537">
        <f t="shared" si="15"/>
        <v>9.9</v>
      </c>
      <c r="L35" s="537">
        <f t="shared" si="15"/>
        <v>9.9</v>
      </c>
      <c r="M35" s="537">
        <f t="shared" si="15"/>
        <v>9.9</v>
      </c>
      <c r="N35" s="537">
        <f t="shared" si="15"/>
        <v>11</v>
      </c>
      <c r="O35" s="537">
        <f t="shared" si="15"/>
        <v>11</v>
      </c>
      <c r="P35" s="537">
        <f t="shared" si="15"/>
        <v>11</v>
      </c>
      <c r="Q35" s="537">
        <f t="shared" si="15"/>
        <v>11</v>
      </c>
      <c r="R35" s="537">
        <f t="shared" si="15"/>
        <v>11</v>
      </c>
      <c r="S35" s="537">
        <f t="shared" si="15"/>
        <v>11</v>
      </c>
      <c r="T35" s="537">
        <f t="shared" si="15"/>
        <v>11</v>
      </c>
      <c r="U35" s="537">
        <f t="shared" si="15"/>
        <v>11</v>
      </c>
      <c r="V35" s="537">
        <f t="shared" si="15"/>
        <v>11</v>
      </c>
      <c r="W35" s="537">
        <f t="shared" si="15"/>
        <v>11</v>
      </c>
      <c r="X35" s="537">
        <f t="shared" si="15"/>
        <v>11</v>
      </c>
      <c r="Y35" s="537">
        <f t="shared" si="15"/>
        <v>11</v>
      </c>
      <c r="Z35" s="537">
        <f t="shared" si="15"/>
        <v>11</v>
      </c>
      <c r="AA35" s="537">
        <f t="shared" si="15"/>
        <v>11</v>
      </c>
      <c r="AB35" s="538">
        <f t="shared" si="15"/>
        <v>11</v>
      </c>
      <c r="AC35" s="95">
        <f t="shared" si="15"/>
        <v>7.7</v>
      </c>
      <c r="AD35" s="537">
        <f t="shared" si="15"/>
        <v>8.8000000000000007</v>
      </c>
      <c r="AE35" s="537">
        <f t="shared" si="15"/>
        <v>8.8000000000000007</v>
      </c>
      <c r="AF35" s="537">
        <f t="shared" si="15"/>
        <v>8.8000000000000007</v>
      </c>
      <c r="AG35" s="537">
        <f t="shared" si="15"/>
        <v>9.9</v>
      </c>
      <c r="AH35" s="537">
        <f t="shared" si="15"/>
        <v>9.9</v>
      </c>
      <c r="AI35" s="537">
        <f t="shared" si="15"/>
        <v>9.9</v>
      </c>
      <c r="AJ35" s="537">
        <f t="shared" si="15"/>
        <v>11</v>
      </c>
      <c r="AK35" s="537">
        <f t="shared" si="15"/>
        <v>11</v>
      </c>
      <c r="AL35" s="537">
        <f t="shared" si="15"/>
        <v>11</v>
      </c>
      <c r="AM35" s="537">
        <f t="shared" si="15"/>
        <v>11</v>
      </c>
      <c r="AN35" s="537">
        <f t="shared" si="15"/>
        <v>11</v>
      </c>
      <c r="AO35" s="537">
        <f t="shared" si="15"/>
        <v>11</v>
      </c>
      <c r="AP35" s="539">
        <f t="shared" si="15"/>
        <v>11</v>
      </c>
      <c r="AQ35" s="506">
        <f t="shared" ref="AQ35" si="16">ROUND($B$2*AQ$32,2)</f>
        <v>7.7</v>
      </c>
    </row>
    <row r="36" spans="1:43" x14ac:dyDescent="0.2">
      <c r="A36" s="536" t="s">
        <v>139</v>
      </c>
      <c r="B36" s="537">
        <f>ROUND($B$2*B33,2)</f>
        <v>6.16</v>
      </c>
      <c r="C36" s="537">
        <f t="shared" ref="C36:AP36" si="17">ROUND($B$2*C33,2)</f>
        <v>6.16</v>
      </c>
      <c r="D36" s="537">
        <f t="shared" si="17"/>
        <v>6.16</v>
      </c>
      <c r="E36" s="537">
        <f t="shared" si="17"/>
        <v>6.16</v>
      </c>
      <c r="F36" s="537">
        <f t="shared" si="17"/>
        <v>6.16</v>
      </c>
      <c r="G36" s="537">
        <f t="shared" si="17"/>
        <v>6.16</v>
      </c>
      <c r="H36" s="537">
        <f t="shared" si="17"/>
        <v>7.04</v>
      </c>
      <c r="I36" s="537">
        <f t="shared" si="17"/>
        <v>7.04</v>
      </c>
      <c r="J36" s="537">
        <f t="shared" si="17"/>
        <v>7.04</v>
      </c>
      <c r="K36" s="537">
        <f t="shared" si="17"/>
        <v>7.92</v>
      </c>
      <c r="L36" s="537">
        <f t="shared" si="17"/>
        <v>7.92</v>
      </c>
      <c r="M36" s="537">
        <f t="shared" si="17"/>
        <v>7.92</v>
      </c>
      <c r="N36" s="537">
        <f t="shared" si="17"/>
        <v>8.8000000000000007</v>
      </c>
      <c r="O36" s="537">
        <f t="shared" si="17"/>
        <v>8.8000000000000007</v>
      </c>
      <c r="P36" s="537">
        <f t="shared" si="17"/>
        <v>8.8000000000000007</v>
      </c>
      <c r="Q36" s="537">
        <f t="shared" si="17"/>
        <v>8.8000000000000007</v>
      </c>
      <c r="R36" s="537">
        <f t="shared" si="17"/>
        <v>8.8000000000000007</v>
      </c>
      <c r="S36" s="537">
        <f t="shared" si="17"/>
        <v>8.8000000000000007</v>
      </c>
      <c r="T36" s="537">
        <f t="shared" si="17"/>
        <v>8.8000000000000007</v>
      </c>
      <c r="U36" s="537">
        <f t="shared" si="17"/>
        <v>8.8000000000000007</v>
      </c>
      <c r="V36" s="537">
        <f t="shared" si="17"/>
        <v>8.8000000000000007</v>
      </c>
      <c r="W36" s="537">
        <f t="shared" si="17"/>
        <v>8.8000000000000007</v>
      </c>
      <c r="X36" s="537">
        <f t="shared" si="17"/>
        <v>8.8000000000000007</v>
      </c>
      <c r="Y36" s="537">
        <f t="shared" si="17"/>
        <v>8.8000000000000007</v>
      </c>
      <c r="Z36" s="537">
        <f t="shared" si="17"/>
        <v>8.8000000000000007</v>
      </c>
      <c r="AA36" s="537">
        <f t="shared" si="17"/>
        <v>8.8000000000000007</v>
      </c>
      <c r="AB36" s="538">
        <f t="shared" si="17"/>
        <v>8.8000000000000007</v>
      </c>
      <c r="AC36" s="95">
        <f t="shared" si="17"/>
        <v>6.16</v>
      </c>
      <c r="AD36" s="537">
        <f t="shared" si="17"/>
        <v>6.6</v>
      </c>
      <c r="AE36" s="537">
        <f t="shared" si="17"/>
        <v>6.6</v>
      </c>
      <c r="AF36" s="537">
        <f t="shared" si="17"/>
        <v>6.6</v>
      </c>
      <c r="AG36" s="537">
        <f t="shared" si="17"/>
        <v>8.25</v>
      </c>
      <c r="AH36" s="537">
        <f t="shared" si="17"/>
        <v>8.25</v>
      </c>
      <c r="AI36" s="537">
        <f t="shared" si="17"/>
        <v>8.25</v>
      </c>
      <c r="AJ36" s="537">
        <f t="shared" si="17"/>
        <v>8.25</v>
      </c>
      <c r="AK36" s="537">
        <f t="shared" si="17"/>
        <v>8.25</v>
      </c>
      <c r="AL36" s="537">
        <f t="shared" si="17"/>
        <v>8.25</v>
      </c>
      <c r="AM36" s="537">
        <f t="shared" si="17"/>
        <v>6.19</v>
      </c>
      <c r="AN36" s="537">
        <f t="shared" si="17"/>
        <v>6.19</v>
      </c>
      <c r="AO36" s="537">
        <f t="shared" si="17"/>
        <v>6.19</v>
      </c>
      <c r="AP36" s="539">
        <f t="shared" si="17"/>
        <v>6.19</v>
      </c>
      <c r="AQ36" s="506">
        <f t="shared" ref="AQ36" si="18">ROUND($B$2*AQ$33,2)</f>
        <v>6.16</v>
      </c>
    </row>
    <row r="37" spans="1:43" x14ac:dyDescent="0.2">
      <c r="A37" s="540" t="s">
        <v>140</v>
      </c>
      <c r="B37" s="541">
        <f>B34*$B$2</f>
        <v>5.2141144081223061</v>
      </c>
      <c r="C37" s="537">
        <f t="shared" ref="C37:AQ37" si="19">C34*$B$2</f>
        <v>5.2141144081223061</v>
      </c>
      <c r="D37" s="537">
        <f t="shared" si="19"/>
        <v>5.2141144081223061</v>
      </c>
      <c r="E37" s="537">
        <f t="shared" si="19"/>
        <v>5.2141144081223061</v>
      </c>
      <c r="F37" s="537">
        <f t="shared" si="19"/>
        <v>5.2141144081223061</v>
      </c>
      <c r="G37" s="537">
        <f t="shared" si="19"/>
        <v>5.2141144081223061</v>
      </c>
      <c r="H37" s="537">
        <f t="shared" si="19"/>
        <v>5.9589878949969206</v>
      </c>
      <c r="I37" s="537">
        <f t="shared" si="19"/>
        <v>5.9589878949969206</v>
      </c>
      <c r="J37" s="537">
        <f t="shared" si="19"/>
        <v>5.9589878949969206</v>
      </c>
      <c r="K37" s="537">
        <f t="shared" si="19"/>
        <v>6.703861381871536</v>
      </c>
      <c r="L37" s="537">
        <f t="shared" si="19"/>
        <v>6.703861381871536</v>
      </c>
      <c r="M37" s="537">
        <f t="shared" si="19"/>
        <v>6.703861381871536</v>
      </c>
      <c r="N37" s="537">
        <f t="shared" si="19"/>
        <v>7.4487348687461514</v>
      </c>
      <c r="O37" s="537">
        <f t="shared" si="19"/>
        <v>7.4487348687461514</v>
      </c>
      <c r="P37" s="537">
        <f t="shared" si="19"/>
        <v>7.4487348687461514</v>
      </c>
      <c r="Q37" s="537">
        <f t="shared" si="19"/>
        <v>7.4487348687461514</v>
      </c>
      <c r="R37" s="537">
        <f t="shared" si="19"/>
        <v>7.4487348687461514</v>
      </c>
      <c r="S37" s="537">
        <f t="shared" si="19"/>
        <v>7.4487348687461514</v>
      </c>
      <c r="T37" s="537">
        <f t="shared" si="19"/>
        <v>7.4487348687461514</v>
      </c>
      <c r="U37" s="537">
        <f t="shared" si="19"/>
        <v>7.4487348687461514</v>
      </c>
      <c r="V37" s="537">
        <f t="shared" si="19"/>
        <v>7.4487348687461514</v>
      </c>
      <c r="W37" s="537">
        <f t="shared" si="19"/>
        <v>7.4487348687461514</v>
      </c>
      <c r="X37" s="537">
        <f t="shared" si="19"/>
        <v>7.4487348687461514</v>
      </c>
      <c r="Y37" s="537">
        <f t="shared" si="19"/>
        <v>7.4487348687461514</v>
      </c>
      <c r="Z37" s="537">
        <f t="shared" si="19"/>
        <v>7.4487348687461514</v>
      </c>
      <c r="AA37" s="537">
        <f t="shared" si="19"/>
        <v>7.4487348687461514</v>
      </c>
      <c r="AB37" s="539">
        <f t="shared" si="19"/>
        <v>7.4487348687461514</v>
      </c>
      <c r="AC37" s="542">
        <f t="shared" si="19"/>
        <v>5.2141144081223061</v>
      </c>
      <c r="AD37" s="537">
        <f t="shared" si="19"/>
        <v>5.5865511515596129</v>
      </c>
      <c r="AE37" s="537">
        <f t="shared" si="19"/>
        <v>5.5865511515596129</v>
      </c>
      <c r="AF37" s="537">
        <f t="shared" si="19"/>
        <v>5.5865511515596129</v>
      </c>
      <c r="AG37" s="537">
        <f t="shared" si="19"/>
        <v>6.9831889394495175</v>
      </c>
      <c r="AH37" s="537">
        <f t="shared" si="19"/>
        <v>6.9831889394495175</v>
      </c>
      <c r="AI37" s="537">
        <f t="shared" si="19"/>
        <v>6.9831889394495175</v>
      </c>
      <c r="AJ37" s="537">
        <f t="shared" si="19"/>
        <v>6.9831889394495175</v>
      </c>
      <c r="AK37" s="537">
        <f t="shared" si="19"/>
        <v>6.9831889394495175</v>
      </c>
      <c r="AL37" s="537">
        <f t="shared" si="19"/>
        <v>6.9831889394495175</v>
      </c>
      <c r="AM37" s="537">
        <f t="shared" si="19"/>
        <v>5.2395078224475773</v>
      </c>
      <c r="AN37" s="537">
        <f t="shared" si="19"/>
        <v>5.2395078224475773</v>
      </c>
      <c r="AO37" s="537">
        <f t="shared" si="19"/>
        <v>5.2395078224475773</v>
      </c>
      <c r="AP37" s="539">
        <f t="shared" si="19"/>
        <v>5.2395078224475773</v>
      </c>
      <c r="AQ37" s="542">
        <f t="shared" si="19"/>
        <v>5.2141144081223061</v>
      </c>
    </row>
    <row r="38" spans="1:43" x14ac:dyDescent="0.2">
      <c r="A38" s="543" t="s">
        <v>141</v>
      </c>
      <c r="B38" s="544"/>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89"/>
      <c r="AD38" s="39"/>
      <c r="AE38" s="39"/>
      <c r="AF38" s="39"/>
      <c r="AG38" s="39"/>
      <c r="AH38" s="39"/>
      <c r="AI38" s="39"/>
      <c r="AJ38" s="39"/>
      <c r="AK38" s="39"/>
      <c r="AL38" s="39"/>
      <c r="AM38" s="39"/>
      <c r="AN38" s="39"/>
      <c r="AO38" s="39"/>
      <c r="AP38" s="90"/>
      <c r="AQ38" s="506"/>
    </row>
    <row r="39" spans="1:43" x14ac:dyDescent="0.2">
      <c r="A39" s="546" t="s">
        <v>142</v>
      </c>
      <c r="B39" s="547">
        <f t="shared" ref="B39:AQ39" si="20">IF($B126&gt;=0.9, B$36,B$36*$B126)</f>
        <v>4.1912554754059146</v>
      </c>
      <c r="C39" s="547">
        <f t="shared" si="20"/>
        <v>4.1912554754059146</v>
      </c>
      <c r="D39" s="547">
        <f t="shared" si="20"/>
        <v>4.1912554754059146</v>
      </c>
      <c r="E39" s="547">
        <f t="shared" si="20"/>
        <v>4.1912554754059146</v>
      </c>
      <c r="F39" s="547">
        <f t="shared" si="20"/>
        <v>4.1912554754059146</v>
      </c>
      <c r="G39" s="547">
        <f t="shared" si="20"/>
        <v>4.1912554754059146</v>
      </c>
      <c r="H39" s="547">
        <f t="shared" si="20"/>
        <v>4.790006257606759</v>
      </c>
      <c r="I39" s="547">
        <f t="shared" si="20"/>
        <v>4.790006257606759</v>
      </c>
      <c r="J39" s="547">
        <f t="shared" si="20"/>
        <v>4.790006257606759</v>
      </c>
      <c r="K39" s="547">
        <f t="shared" si="20"/>
        <v>5.3887570398076043</v>
      </c>
      <c r="L39" s="547">
        <f t="shared" si="20"/>
        <v>5.3887570398076043</v>
      </c>
      <c r="M39" s="547">
        <f t="shared" si="20"/>
        <v>5.3887570398076043</v>
      </c>
      <c r="N39" s="547">
        <f t="shared" si="20"/>
        <v>5.9875078220084497</v>
      </c>
      <c r="O39" s="547">
        <f t="shared" si="20"/>
        <v>5.9875078220084497</v>
      </c>
      <c r="P39" s="547">
        <f t="shared" si="20"/>
        <v>5.9875078220084497</v>
      </c>
      <c r="Q39" s="547">
        <f t="shared" si="20"/>
        <v>5.9875078220084497</v>
      </c>
      <c r="R39" s="547">
        <f t="shared" si="20"/>
        <v>5.9875078220084497</v>
      </c>
      <c r="S39" s="547">
        <f t="shared" si="20"/>
        <v>5.9875078220084497</v>
      </c>
      <c r="T39" s="547">
        <f t="shared" si="20"/>
        <v>5.9875078220084497</v>
      </c>
      <c r="U39" s="547">
        <f t="shared" si="20"/>
        <v>5.9875078220084497</v>
      </c>
      <c r="V39" s="547">
        <f t="shared" si="20"/>
        <v>5.9875078220084497</v>
      </c>
      <c r="W39" s="547">
        <f t="shared" si="20"/>
        <v>5.9875078220084497</v>
      </c>
      <c r="X39" s="547">
        <f t="shared" si="20"/>
        <v>5.9875078220084497</v>
      </c>
      <c r="Y39" s="547">
        <f t="shared" si="20"/>
        <v>5.9875078220084497</v>
      </c>
      <c r="Z39" s="547">
        <f t="shared" si="20"/>
        <v>5.9875078220084497</v>
      </c>
      <c r="AA39" s="547">
        <f t="shared" si="20"/>
        <v>5.9875078220084497</v>
      </c>
      <c r="AB39" s="548">
        <f t="shared" si="20"/>
        <v>5.9875078220084497</v>
      </c>
      <c r="AC39" s="549">
        <f t="shared" si="20"/>
        <v>4.1912554754059146</v>
      </c>
      <c r="AD39" s="547">
        <f t="shared" si="20"/>
        <v>4.4906308665063364</v>
      </c>
      <c r="AE39" s="547">
        <f t="shared" si="20"/>
        <v>4.4906308665063364</v>
      </c>
      <c r="AF39" s="547">
        <f t="shared" si="20"/>
        <v>4.4906308665063364</v>
      </c>
      <c r="AG39" s="547">
        <f t="shared" si="20"/>
        <v>5.6132885831329213</v>
      </c>
      <c r="AH39" s="547">
        <f t="shared" si="20"/>
        <v>5.6132885831329213</v>
      </c>
      <c r="AI39" s="547">
        <f t="shared" si="20"/>
        <v>5.6132885831329213</v>
      </c>
      <c r="AJ39" s="547">
        <f t="shared" si="20"/>
        <v>5.6132885831329213</v>
      </c>
      <c r="AK39" s="547">
        <f t="shared" si="20"/>
        <v>5.6132885831329213</v>
      </c>
      <c r="AL39" s="547">
        <f t="shared" si="20"/>
        <v>5.6132885831329213</v>
      </c>
      <c r="AM39" s="547">
        <f t="shared" si="20"/>
        <v>4.2116674338900344</v>
      </c>
      <c r="AN39" s="547">
        <f t="shared" si="20"/>
        <v>4.2116674338900344</v>
      </c>
      <c r="AO39" s="547">
        <f t="shared" si="20"/>
        <v>4.2116674338900344</v>
      </c>
      <c r="AP39" s="548">
        <f t="shared" si="20"/>
        <v>4.2116674338900344</v>
      </c>
      <c r="AQ39" s="549">
        <f t="shared" si="20"/>
        <v>4.1912554754059146</v>
      </c>
    </row>
    <row r="40" spans="1:43" x14ac:dyDescent="0.2">
      <c r="A40" s="546" t="s">
        <v>143</v>
      </c>
      <c r="B40" s="547">
        <f t="shared" ref="B40:AQ40" si="21">IF($B127&gt;=0.9, B$36,B$36*$B127)</f>
        <v>3.1910636407076058</v>
      </c>
      <c r="C40" s="547">
        <f t="shared" si="21"/>
        <v>3.1910636407076058</v>
      </c>
      <c r="D40" s="547">
        <f t="shared" si="21"/>
        <v>3.1910636407076058</v>
      </c>
      <c r="E40" s="547">
        <f t="shared" si="21"/>
        <v>3.1910636407076058</v>
      </c>
      <c r="F40" s="547">
        <f t="shared" si="21"/>
        <v>3.1910636407076058</v>
      </c>
      <c r="G40" s="547">
        <f t="shared" si="21"/>
        <v>3.1910636407076058</v>
      </c>
      <c r="H40" s="547">
        <f t="shared" si="21"/>
        <v>3.6469298750944064</v>
      </c>
      <c r="I40" s="547">
        <f t="shared" si="21"/>
        <v>3.6469298750944064</v>
      </c>
      <c r="J40" s="547">
        <f t="shared" si="21"/>
        <v>3.6469298750944064</v>
      </c>
      <c r="K40" s="547">
        <f t="shared" si="21"/>
        <v>4.1027961094812078</v>
      </c>
      <c r="L40" s="547">
        <f t="shared" si="21"/>
        <v>4.1027961094812078</v>
      </c>
      <c r="M40" s="547">
        <f t="shared" si="21"/>
        <v>4.1027961094812078</v>
      </c>
      <c r="N40" s="547">
        <f t="shared" si="21"/>
        <v>4.5586623438680087</v>
      </c>
      <c r="O40" s="547">
        <f t="shared" si="21"/>
        <v>4.5586623438680087</v>
      </c>
      <c r="P40" s="547">
        <f t="shared" si="21"/>
        <v>4.5586623438680087</v>
      </c>
      <c r="Q40" s="547">
        <f t="shared" si="21"/>
        <v>4.5586623438680087</v>
      </c>
      <c r="R40" s="547">
        <f t="shared" si="21"/>
        <v>4.5586623438680087</v>
      </c>
      <c r="S40" s="547">
        <f t="shared" si="21"/>
        <v>4.5586623438680087</v>
      </c>
      <c r="T40" s="547">
        <f t="shared" si="21"/>
        <v>4.5586623438680087</v>
      </c>
      <c r="U40" s="547">
        <f t="shared" si="21"/>
        <v>4.5586623438680087</v>
      </c>
      <c r="V40" s="547">
        <f t="shared" si="21"/>
        <v>4.5586623438680087</v>
      </c>
      <c r="W40" s="547">
        <f t="shared" si="21"/>
        <v>4.5586623438680087</v>
      </c>
      <c r="X40" s="547">
        <f t="shared" si="21"/>
        <v>4.5586623438680087</v>
      </c>
      <c r="Y40" s="547">
        <f t="shared" si="21"/>
        <v>4.5586623438680087</v>
      </c>
      <c r="Z40" s="547">
        <f t="shared" si="21"/>
        <v>4.5586623438680087</v>
      </c>
      <c r="AA40" s="547">
        <f t="shared" si="21"/>
        <v>4.5586623438680087</v>
      </c>
      <c r="AB40" s="548">
        <f t="shared" si="21"/>
        <v>4.5586623438680087</v>
      </c>
      <c r="AC40" s="549">
        <f t="shared" si="21"/>
        <v>3.1910636407076058</v>
      </c>
      <c r="AD40" s="547">
        <f t="shared" si="21"/>
        <v>3.4189967579010059</v>
      </c>
      <c r="AE40" s="547">
        <f t="shared" si="21"/>
        <v>3.4189967579010059</v>
      </c>
      <c r="AF40" s="547">
        <f t="shared" si="21"/>
        <v>3.4189967579010059</v>
      </c>
      <c r="AG40" s="547">
        <f t="shared" si="21"/>
        <v>4.2737459473762573</v>
      </c>
      <c r="AH40" s="547">
        <f t="shared" si="21"/>
        <v>4.2737459473762573</v>
      </c>
      <c r="AI40" s="547">
        <f t="shared" si="21"/>
        <v>4.2737459473762573</v>
      </c>
      <c r="AJ40" s="547">
        <f t="shared" si="21"/>
        <v>4.2737459473762573</v>
      </c>
      <c r="AK40" s="547">
        <f t="shared" si="21"/>
        <v>4.2737459473762573</v>
      </c>
      <c r="AL40" s="547">
        <f t="shared" si="21"/>
        <v>4.2737459473762573</v>
      </c>
      <c r="AM40" s="547">
        <f t="shared" si="21"/>
        <v>3.2066045350617016</v>
      </c>
      <c r="AN40" s="547">
        <f t="shared" si="21"/>
        <v>3.2066045350617016</v>
      </c>
      <c r="AO40" s="547">
        <f t="shared" si="21"/>
        <v>3.2066045350617016</v>
      </c>
      <c r="AP40" s="548">
        <f t="shared" si="21"/>
        <v>3.2066045350617016</v>
      </c>
      <c r="AQ40" s="549">
        <f t="shared" si="21"/>
        <v>3.1910636407076058</v>
      </c>
    </row>
    <row r="41" spans="1:43" x14ac:dyDescent="0.2">
      <c r="A41" s="550" t="s">
        <v>144</v>
      </c>
      <c r="B41" s="547">
        <f t="shared" ref="B41:AQ41" si="22">IF($B128&gt;=0.9, B$36,B$36*$B128)</f>
        <v>3.2589061101154377</v>
      </c>
      <c r="C41" s="547">
        <f t="shared" si="22"/>
        <v>3.2589061101154377</v>
      </c>
      <c r="D41" s="547">
        <f t="shared" si="22"/>
        <v>3.2589061101154377</v>
      </c>
      <c r="E41" s="547">
        <f t="shared" si="22"/>
        <v>3.2589061101154377</v>
      </c>
      <c r="F41" s="547">
        <f t="shared" si="22"/>
        <v>3.2589061101154377</v>
      </c>
      <c r="G41" s="547">
        <f t="shared" si="22"/>
        <v>3.2589061101154377</v>
      </c>
      <c r="H41" s="547">
        <f t="shared" si="22"/>
        <v>3.7244641258462146</v>
      </c>
      <c r="I41" s="547">
        <f t="shared" si="22"/>
        <v>3.7244641258462146</v>
      </c>
      <c r="J41" s="547">
        <f t="shared" si="22"/>
        <v>3.7244641258462146</v>
      </c>
      <c r="K41" s="547">
        <f t="shared" si="22"/>
        <v>4.1900221415769909</v>
      </c>
      <c r="L41" s="547">
        <f t="shared" si="22"/>
        <v>4.1900221415769909</v>
      </c>
      <c r="M41" s="547">
        <f t="shared" si="22"/>
        <v>4.1900221415769909</v>
      </c>
      <c r="N41" s="547">
        <f t="shared" si="22"/>
        <v>4.6555801573077682</v>
      </c>
      <c r="O41" s="547">
        <f t="shared" si="22"/>
        <v>4.6555801573077682</v>
      </c>
      <c r="P41" s="547">
        <f t="shared" si="22"/>
        <v>4.6555801573077682</v>
      </c>
      <c r="Q41" s="547">
        <f t="shared" si="22"/>
        <v>4.6555801573077682</v>
      </c>
      <c r="R41" s="547">
        <f t="shared" si="22"/>
        <v>4.6555801573077682</v>
      </c>
      <c r="S41" s="547">
        <f t="shared" si="22"/>
        <v>4.6555801573077682</v>
      </c>
      <c r="T41" s="547">
        <f t="shared" si="22"/>
        <v>4.6555801573077682</v>
      </c>
      <c r="U41" s="547">
        <f t="shared" si="22"/>
        <v>4.6555801573077682</v>
      </c>
      <c r="V41" s="547">
        <f t="shared" si="22"/>
        <v>4.6555801573077682</v>
      </c>
      <c r="W41" s="547">
        <f t="shared" si="22"/>
        <v>4.6555801573077682</v>
      </c>
      <c r="X41" s="547">
        <f t="shared" si="22"/>
        <v>4.6555801573077682</v>
      </c>
      <c r="Y41" s="547">
        <f t="shared" si="22"/>
        <v>4.6555801573077682</v>
      </c>
      <c r="Z41" s="547">
        <f t="shared" si="22"/>
        <v>4.6555801573077682</v>
      </c>
      <c r="AA41" s="547">
        <f t="shared" si="22"/>
        <v>4.6555801573077682</v>
      </c>
      <c r="AB41" s="548">
        <f t="shared" si="22"/>
        <v>4.6555801573077682</v>
      </c>
      <c r="AC41" s="549">
        <f t="shared" si="22"/>
        <v>3.2589061101154377</v>
      </c>
      <c r="AD41" s="547">
        <f t="shared" si="22"/>
        <v>3.4916851179808259</v>
      </c>
      <c r="AE41" s="547">
        <f t="shared" si="22"/>
        <v>3.4916851179808259</v>
      </c>
      <c r="AF41" s="547">
        <f t="shared" si="22"/>
        <v>3.4916851179808259</v>
      </c>
      <c r="AG41" s="547">
        <f t="shared" si="22"/>
        <v>4.3646063974760327</v>
      </c>
      <c r="AH41" s="547">
        <f t="shared" si="22"/>
        <v>4.3646063974760327</v>
      </c>
      <c r="AI41" s="547">
        <f t="shared" si="22"/>
        <v>4.3646063974760327</v>
      </c>
      <c r="AJ41" s="547">
        <f t="shared" si="22"/>
        <v>4.3646063974760327</v>
      </c>
      <c r="AK41" s="547">
        <f t="shared" si="22"/>
        <v>4.3646063974760327</v>
      </c>
      <c r="AL41" s="547">
        <f t="shared" si="22"/>
        <v>4.3646063974760327</v>
      </c>
      <c r="AM41" s="547">
        <f t="shared" si="22"/>
        <v>3.2747774061062596</v>
      </c>
      <c r="AN41" s="547">
        <f t="shared" si="22"/>
        <v>3.2747774061062596</v>
      </c>
      <c r="AO41" s="547">
        <f t="shared" si="22"/>
        <v>3.2747774061062596</v>
      </c>
      <c r="AP41" s="548">
        <f t="shared" si="22"/>
        <v>3.2747774061062596</v>
      </c>
      <c r="AQ41" s="549">
        <f t="shared" si="22"/>
        <v>3.2589061101154377</v>
      </c>
    </row>
    <row r="42" spans="1:43" x14ac:dyDescent="0.2">
      <c r="A42" s="550" t="s">
        <v>145</v>
      </c>
      <c r="B42" s="547">
        <f t="shared" ref="B42:AQ42" si="23">IF($B129&gt;=0.9, B$36,B$36*$B129)</f>
        <v>2.2005635873532743</v>
      </c>
      <c r="C42" s="547">
        <f t="shared" si="23"/>
        <v>2.2005635873532743</v>
      </c>
      <c r="D42" s="547">
        <f t="shared" si="23"/>
        <v>2.2005635873532743</v>
      </c>
      <c r="E42" s="547">
        <f t="shared" si="23"/>
        <v>2.2005635873532743</v>
      </c>
      <c r="F42" s="547">
        <f t="shared" si="23"/>
        <v>2.2005635873532743</v>
      </c>
      <c r="G42" s="547">
        <f t="shared" si="23"/>
        <v>2.2005635873532743</v>
      </c>
      <c r="H42" s="547">
        <f t="shared" si="23"/>
        <v>2.5149298141180276</v>
      </c>
      <c r="I42" s="547">
        <f t="shared" si="23"/>
        <v>2.5149298141180276</v>
      </c>
      <c r="J42" s="547">
        <f t="shared" si="23"/>
        <v>2.5149298141180276</v>
      </c>
      <c r="K42" s="547">
        <f t="shared" si="23"/>
        <v>2.829296040882781</v>
      </c>
      <c r="L42" s="547">
        <f t="shared" si="23"/>
        <v>2.829296040882781</v>
      </c>
      <c r="M42" s="547">
        <f t="shared" si="23"/>
        <v>2.829296040882781</v>
      </c>
      <c r="N42" s="547">
        <f t="shared" si="23"/>
        <v>3.1436622676475348</v>
      </c>
      <c r="O42" s="547">
        <f t="shared" si="23"/>
        <v>3.1436622676475348</v>
      </c>
      <c r="P42" s="547">
        <f t="shared" si="23"/>
        <v>3.1436622676475348</v>
      </c>
      <c r="Q42" s="547">
        <f t="shared" si="23"/>
        <v>3.1436622676475348</v>
      </c>
      <c r="R42" s="547">
        <f t="shared" si="23"/>
        <v>3.1436622676475348</v>
      </c>
      <c r="S42" s="547">
        <f t="shared" si="23"/>
        <v>3.1436622676475348</v>
      </c>
      <c r="T42" s="547">
        <f t="shared" si="23"/>
        <v>3.1436622676475348</v>
      </c>
      <c r="U42" s="547">
        <f t="shared" si="23"/>
        <v>3.1436622676475348</v>
      </c>
      <c r="V42" s="547">
        <f t="shared" si="23"/>
        <v>3.1436622676475348</v>
      </c>
      <c r="W42" s="547">
        <f t="shared" si="23"/>
        <v>3.1436622676475348</v>
      </c>
      <c r="X42" s="547">
        <f t="shared" si="23"/>
        <v>3.1436622676475348</v>
      </c>
      <c r="Y42" s="547">
        <f t="shared" si="23"/>
        <v>3.1436622676475348</v>
      </c>
      <c r="Z42" s="547">
        <f t="shared" si="23"/>
        <v>3.1436622676475348</v>
      </c>
      <c r="AA42" s="547">
        <f t="shared" si="23"/>
        <v>3.1436622676475348</v>
      </c>
      <c r="AB42" s="548">
        <f t="shared" si="23"/>
        <v>3.1436622676475348</v>
      </c>
      <c r="AC42" s="549">
        <f t="shared" si="23"/>
        <v>2.2005635873532743</v>
      </c>
      <c r="AD42" s="547">
        <f t="shared" si="23"/>
        <v>2.357746700735651</v>
      </c>
      <c r="AE42" s="547">
        <f t="shared" si="23"/>
        <v>2.357746700735651</v>
      </c>
      <c r="AF42" s="547">
        <f t="shared" si="23"/>
        <v>2.357746700735651</v>
      </c>
      <c r="AG42" s="547">
        <f t="shared" si="23"/>
        <v>2.9471833759195638</v>
      </c>
      <c r="AH42" s="547">
        <f t="shared" si="23"/>
        <v>2.9471833759195638</v>
      </c>
      <c r="AI42" s="547">
        <f t="shared" si="23"/>
        <v>2.9471833759195638</v>
      </c>
      <c r="AJ42" s="547">
        <f t="shared" si="23"/>
        <v>2.9471833759195638</v>
      </c>
      <c r="AK42" s="547">
        <f t="shared" si="23"/>
        <v>2.9471833759195638</v>
      </c>
      <c r="AL42" s="547">
        <f t="shared" si="23"/>
        <v>2.9471833759195638</v>
      </c>
      <c r="AM42" s="547">
        <f t="shared" si="23"/>
        <v>2.2112806178111639</v>
      </c>
      <c r="AN42" s="547">
        <f t="shared" si="23"/>
        <v>2.2112806178111639</v>
      </c>
      <c r="AO42" s="547">
        <f t="shared" si="23"/>
        <v>2.2112806178111639</v>
      </c>
      <c r="AP42" s="548">
        <f t="shared" si="23"/>
        <v>2.2112806178111639</v>
      </c>
      <c r="AQ42" s="549">
        <f t="shared" si="23"/>
        <v>2.2005635873532743</v>
      </c>
    </row>
    <row r="43" spans="1:43" x14ac:dyDescent="0.2">
      <c r="A43" s="551" t="s">
        <v>146</v>
      </c>
      <c r="B43" s="547">
        <f t="shared" ref="B43:AQ43" si="24">IF($B130&gt;=0.9, B$36,B$36*$B130)</f>
        <v>2.8238152656622275</v>
      </c>
      <c r="C43" s="547">
        <f t="shared" si="24"/>
        <v>2.8238152656622275</v>
      </c>
      <c r="D43" s="547">
        <f t="shared" si="24"/>
        <v>2.8238152656622275</v>
      </c>
      <c r="E43" s="547">
        <f t="shared" si="24"/>
        <v>2.8238152656622275</v>
      </c>
      <c r="F43" s="547">
        <f t="shared" si="24"/>
        <v>2.8238152656622275</v>
      </c>
      <c r="G43" s="547">
        <f t="shared" si="24"/>
        <v>2.8238152656622275</v>
      </c>
      <c r="H43" s="547">
        <f t="shared" si="24"/>
        <v>3.227217446471117</v>
      </c>
      <c r="I43" s="547">
        <f t="shared" si="24"/>
        <v>3.227217446471117</v>
      </c>
      <c r="J43" s="547">
        <f t="shared" si="24"/>
        <v>3.227217446471117</v>
      </c>
      <c r="K43" s="547">
        <f t="shared" si="24"/>
        <v>3.6306196272800064</v>
      </c>
      <c r="L43" s="547">
        <f t="shared" si="24"/>
        <v>3.6306196272800064</v>
      </c>
      <c r="M43" s="547">
        <f t="shared" si="24"/>
        <v>3.6306196272800064</v>
      </c>
      <c r="N43" s="547">
        <f t="shared" si="24"/>
        <v>4.0340218080888963</v>
      </c>
      <c r="O43" s="547">
        <f t="shared" si="24"/>
        <v>4.0340218080888963</v>
      </c>
      <c r="P43" s="547">
        <f t="shared" si="24"/>
        <v>4.0340218080888963</v>
      </c>
      <c r="Q43" s="547">
        <f t="shared" si="24"/>
        <v>4.0340218080888963</v>
      </c>
      <c r="R43" s="547">
        <f t="shared" si="24"/>
        <v>4.0340218080888963</v>
      </c>
      <c r="S43" s="547">
        <f t="shared" si="24"/>
        <v>4.0340218080888963</v>
      </c>
      <c r="T43" s="547">
        <f t="shared" si="24"/>
        <v>4.0340218080888963</v>
      </c>
      <c r="U43" s="547">
        <f t="shared" si="24"/>
        <v>4.0340218080888963</v>
      </c>
      <c r="V43" s="547">
        <f t="shared" si="24"/>
        <v>4.0340218080888963</v>
      </c>
      <c r="W43" s="547">
        <f t="shared" si="24"/>
        <v>4.0340218080888963</v>
      </c>
      <c r="X43" s="547">
        <f t="shared" si="24"/>
        <v>4.0340218080888963</v>
      </c>
      <c r="Y43" s="547">
        <f t="shared" si="24"/>
        <v>4.0340218080888963</v>
      </c>
      <c r="Z43" s="547">
        <f t="shared" si="24"/>
        <v>4.0340218080888963</v>
      </c>
      <c r="AA43" s="547">
        <f t="shared" si="24"/>
        <v>4.0340218080888963</v>
      </c>
      <c r="AB43" s="548">
        <f t="shared" si="24"/>
        <v>4.0340218080888963</v>
      </c>
      <c r="AC43" s="549">
        <f t="shared" si="24"/>
        <v>2.8238152656622275</v>
      </c>
      <c r="AD43" s="547">
        <f t="shared" si="24"/>
        <v>3.0255163560666722</v>
      </c>
      <c r="AE43" s="547">
        <f t="shared" si="24"/>
        <v>3.0255163560666722</v>
      </c>
      <c r="AF43" s="547">
        <f t="shared" si="24"/>
        <v>3.0255163560666722</v>
      </c>
      <c r="AG43" s="547">
        <f t="shared" si="24"/>
        <v>3.7818954450833404</v>
      </c>
      <c r="AH43" s="547">
        <f t="shared" si="24"/>
        <v>3.7818954450833404</v>
      </c>
      <c r="AI43" s="547">
        <f t="shared" si="24"/>
        <v>3.7818954450833404</v>
      </c>
      <c r="AJ43" s="547">
        <f t="shared" si="24"/>
        <v>3.7818954450833404</v>
      </c>
      <c r="AK43" s="547">
        <f t="shared" si="24"/>
        <v>3.7818954450833404</v>
      </c>
      <c r="AL43" s="547">
        <f t="shared" si="24"/>
        <v>3.7818954450833404</v>
      </c>
      <c r="AM43" s="547">
        <f t="shared" si="24"/>
        <v>2.837567612735258</v>
      </c>
      <c r="AN43" s="547">
        <f t="shared" si="24"/>
        <v>2.837567612735258</v>
      </c>
      <c r="AO43" s="547">
        <f t="shared" si="24"/>
        <v>2.837567612735258</v>
      </c>
      <c r="AP43" s="548">
        <f t="shared" si="24"/>
        <v>2.837567612735258</v>
      </c>
      <c r="AQ43" s="549">
        <f t="shared" si="24"/>
        <v>2.8238152656622275</v>
      </c>
    </row>
    <row r="44" spans="1:43" x14ac:dyDescent="0.2">
      <c r="A44" s="550" t="s">
        <v>147</v>
      </c>
      <c r="B44" s="547">
        <f t="shared" ref="B44:AQ44" si="25">IF($B131&gt;=0.9, B$36,B$36*$B131)</f>
        <v>1.56909939958969</v>
      </c>
      <c r="C44" s="547">
        <f t="shared" si="25"/>
        <v>1.56909939958969</v>
      </c>
      <c r="D44" s="547">
        <f t="shared" si="25"/>
        <v>1.56909939958969</v>
      </c>
      <c r="E44" s="547">
        <f t="shared" si="25"/>
        <v>1.56909939958969</v>
      </c>
      <c r="F44" s="547">
        <f t="shared" si="25"/>
        <v>1.56909939958969</v>
      </c>
      <c r="G44" s="547">
        <f t="shared" si="25"/>
        <v>1.56909939958969</v>
      </c>
      <c r="H44" s="547">
        <f t="shared" si="25"/>
        <v>1.7932564566739313</v>
      </c>
      <c r="I44" s="547">
        <f t="shared" si="25"/>
        <v>1.7932564566739313</v>
      </c>
      <c r="J44" s="547">
        <f t="shared" si="25"/>
        <v>1.7932564566739313</v>
      </c>
      <c r="K44" s="547">
        <f t="shared" si="25"/>
        <v>2.0174135137581728</v>
      </c>
      <c r="L44" s="547">
        <f t="shared" si="25"/>
        <v>2.0174135137581728</v>
      </c>
      <c r="M44" s="547">
        <f t="shared" si="25"/>
        <v>2.0174135137581728</v>
      </c>
      <c r="N44" s="547">
        <f t="shared" si="25"/>
        <v>2.2415705708424145</v>
      </c>
      <c r="O44" s="547">
        <f t="shared" si="25"/>
        <v>2.2415705708424145</v>
      </c>
      <c r="P44" s="547">
        <f t="shared" si="25"/>
        <v>2.2415705708424145</v>
      </c>
      <c r="Q44" s="547">
        <f t="shared" si="25"/>
        <v>2.2415705708424145</v>
      </c>
      <c r="R44" s="547">
        <f t="shared" si="25"/>
        <v>2.2415705708424145</v>
      </c>
      <c r="S44" s="547">
        <f t="shared" si="25"/>
        <v>2.2415705708424145</v>
      </c>
      <c r="T44" s="547">
        <f t="shared" si="25"/>
        <v>2.2415705708424145</v>
      </c>
      <c r="U44" s="547">
        <f t="shared" si="25"/>
        <v>2.2415705708424145</v>
      </c>
      <c r="V44" s="547">
        <f t="shared" si="25"/>
        <v>2.2415705708424145</v>
      </c>
      <c r="W44" s="547">
        <f t="shared" si="25"/>
        <v>2.2415705708424145</v>
      </c>
      <c r="X44" s="547">
        <f t="shared" si="25"/>
        <v>2.2415705708424145</v>
      </c>
      <c r="Y44" s="547">
        <f t="shared" si="25"/>
        <v>2.2415705708424145</v>
      </c>
      <c r="Z44" s="547">
        <f t="shared" si="25"/>
        <v>2.2415705708424145</v>
      </c>
      <c r="AA44" s="547">
        <f t="shared" si="25"/>
        <v>2.2415705708424145</v>
      </c>
      <c r="AB44" s="548">
        <f t="shared" si="25"/>
        <v>2.2415705708424145</v>
      </c>
      <c r="AC44" s="549">
        <f t="shared" si="25"/>
        <v>1.56909939958969</v>
      </c>
      <c r="AD44" s="547">
        <f t="shared" si="25"/>
        <v>1.6811779281318104</v>
      </c>
      <c r="AE44" s="547">
        <f t="shared" si="25"/>
        <v>1.6811779281318104</v>
      </c>
      <c r="AF44" s="547">
        <f t="shared" si="25"/>
        <v>1.6811779281318104</v>
      </c>
      <c r="AG44" s="547">
        <f t="shared" si="25"/>
        <v>2.1014724101647633</v>
      </c>
      <c r="AH44" s="547">
        <f t="shared" si="25"/>
        <v>2.1014724101647633</v>
      </c>
      <c r="AI44" s="547">
        <f t="shared" si="25"/>
        <v>2.1014724101647633</v>
      </c>
      <c r="AJ44" s="547">
        <f t="shared" si="25"/>
        <v>2.1014724101647633</v>
      </c>
      <c r="AK44" s="547">
        <f t="shared" si="25"/>
        <v>2.1014724101647633</v>
      </c>
      <c r="AL44" s="547">
        <f t="shared" si="25"/>
        <v>2.1014724101647633</v>
      </c>
      <c r="AM44" s="547">
        <f t="shared" si="25"/>
        <v>1.5767411174448345</v>
      </c>
      <c r="AN44" s="547">
        <f t="shared" si="25"/>
        <v>1.5767411174448345</v>
      </c>
      <c r="AO44" s="547">
        <f t="shared" si="25"/>
        <v>1.5767411174448345</v>
      </c>
      <c r="AP44" s="548">
        <f t="shared" si="25"/>
        <v>1.5767411174448345</v>
      </c>
      <c r="AQ44" s="549">
        <f t="shared" si="25"/>
        <v>1.56909939958969</v>
      </c>
    </row>
    <row r="45" spans="1:43" x14ac:dyDescent="0.2">
      <c r="A45" s="550" t="s">
        <v>148</v>
      </c>
      <c r="B45" s="547">
        <f t="shared" ref="B45:AQ45" si="26">IF($B132&gt;=0.9, B$36,B$36*$B132)</f>
        <v>5.2910877489610035</v>
      </c>
      <c r="C45" s="547">
        <f t="shared" si="26"/>
        <v>5.2910877489610035</v>
      </c>
      <c r="D45" s="547">
        <f t="shared" si="26"/>
        <v>5.2910877489610035</v>
      </c>
      <c r="E45" s="547">
        <f t="shared" si="26"/>
        <v>5.2910877489610035</v>
      </c>
      <c r="F45" s="547">
        <f t="shared" si="26"/>
        <v>5.2910877489610035</v>
      </c>
      <c r="G45" s="547">
        <f t="shared" si="26"/>
        <v>5.2910877489610035</v>
      </c>
      <c r="H45" s="547">
        <f t="shared" si="26"/>
        <v>6.0469574273840045</v>
      </c>
      <c r="I45" s="547">
        <f t="shared" si="26"/>
        <v>6.0469574273840045</v>
      </c>
      <c r="J45" s="547">
        <f t="shared" si="26"/>
        <v>6.0469574273840045</v>
      </c>
      <c r="K45" s="547">
        <f t="shared" si="26"/>
        <v>6.8028271058070047</v>
      </c>
      <c r="L45" s="547">
        <f t="shared" si="26"/>
        <v>6.8028271058070047</v>
      </c>
      <c r="M45" s="547">
        <f t="shared" si="26"/>
        <v>6.8028271058070047</v>
      </c>
      <c r="N45" s="547">
        <f t="shared" si="26"/>
        <v>7.5586967842300057</v>
      </c>
      <c r="O45" s="547">
        <f t="shared" si="26"/>
        <v>7.5586967842300057</v>
      </c>
      <c r="P45" s="547">
        <f t="shared" si="26"/>
        <v>7.5586967842300057</v>
      </c>
      <c r="Q45" s="547">
        <f t="shared" si="26"/>
        <v>7.5586967842300057</v>
      </c>
      <c r="R45" s="547">
        <f t="shared" si="26"/>
        <v>7.5586967842300057</v>
      </c>
      <c r="S45" s="547">
        <f t="shared" si="26"/>
        <v>7.5586967842300057</v>
      </c>
      <c r="T45" s="547">
        <f t="shared" si="26"/>
        <v>7.5586967842300057</v>
      </c>
      <c r="U45" s="547">
        <f t="shared" si="26"/>
        <v>7.5586967842300057</v>
      </c>
      <c r="V45" s="547">
        <f t="shared" si="26"/>
        <v>7.5586967842300057</v>
      </c>
      <c r="W45" s="547">
        <f t="shared" si="26"/>
        <v>7.5586967842300057</v>
      </c>
      <c r="X45" s="547">
        <f t="shared" si="26"/>
        <v>7.5586967842300057</v>
      </c>
      <c r="Y45" s="547">
        <f t="shared" si="26"/>
        <v>7.5586967842300057</v>
      </c>
      <c r="Z45" s="547">
        <f t="shared" si="26"/>
        <v>7.5586967842300057</v>
      </c>
      <c r="AA45" s="547">
        <f t="shared" si="26"/>
        <v>7.5586967842300057</v>
      </c>
      <c r="AB45" s="548">
        <f t="shared" si="26"/>
        <v>7.5586967842300057</v>
      </c>
      <c r="AC45" s="549">
        <f t="shared" si="26"/>
        <v>5.2910877489610035</v>
      </c>
      <c r="AD45" s="547">
        <f t="shared" si="26"/>
        <v>5.6690225881725036</v>
      </c>
      <c r="AE45" s="547">
        <f t="shared" si="26"/>
        <v>5.6690225881725036</v>
      </c>
      <c r="AF45" s="547">
        <f t="shared" si="26"/>
        <v>5.6690225881725036</v>
      </c>
      <c r="AG45" s="547">
        <f t="shared" si="26"/>
        <v>7.0862782352156302</v>
      </c>
      <c r="AH45" s="547">
        <f t="shared" si="26"/>
        <v>7.0862782352156302</v>
      </c>
      <c r="AI45" s="547">
        <f t="shared" si="26"/>
        <v>7.0862782352156302</v>
      </c>
      <c r="AJ45" s="547">
        <f t="shared" si="26"/>
        <v>7.0862782352156302</v>
      </c>
      <c r="AK45" s="547">
        <f t="shared" si="26"/>
        <v>7.0862782352156302</v>
      </c>
      <c r="AL45" s="547">
        <f t="shared" si="26"/>
        <v>7.0862782352156302</v>
      </c>
      <c r="AM45" s="547">
        <f t="shared" si="26"/>
        <v>5.3168560334526971</v>
      </c>
      <c r="AN45" s="547">
        <f t="shared" si="26"/>
        <v>5.3168560334526971</v>
      </c>
      <c r="AO45" s="547">
        <f t="shared" si="26"/>
        <v>5.3168560334526971</v>
      </c>
      <c r="AP45" s="548">
        <f t="shared" si="26"/>
        <v>5.3168560334526971</v>
      </c>
      <c r="AQ45" s="549">
        <f t="shared" si="26"/>
        <v>5.2910877489610035</v>
      </c>
    </row>
    <row r="46" spans="1:43" x14ac:dyDescent="0.2">
      <c r="A46" s="550" t="s">
        <v>149</v>
      </c>
      <c r="B46" s="547">
        <f t="shared" ref="B46:AQ46" si="27">IF($B133&gt;=0.9, B$36,B$36*$B133)</f>
        <v>2.0261109435097144</v>
      </c>
      <c r="C46" s="547">
        <f t="shared" si="27"/>
        <v>2.0261109435097144</v>
      </c>
      <c r="D46" s="547">
        <f t="shared" si="27"/>
        <v>2.0261109435097144</v>
      </c>
      <c r="E46" s="547">
        <f t="shared" si="27"/>
        <v>2.0261109435097144</v>
      </c>
      <c r="F46" s="547">
        <f t="shared" si="27"/>
        <v>2.0261109435097144</v>
      </c>
      <c r="G46" s="547">
        <f t="shared" si="27"/>
        <v>2.0261109435097144</v>
      </c>
      <c r="H46" s="547">
        <f t="shared" si="27"/>
        <v>2.3155553640111024</v>
      </c>
      <c r="I46" s="547">
        <f t="shared" si="27"/>
        <v>2.3155553640111024</v>
      </c>
      <c r="J46" s="547">
        <f t="shared" si="27"/>
        <v>2.3155553640111024</v>
      </c>
      <c r="K46" s="547">
        <f t="shared" si="27"/>
        <v>2.6049997845124899</v>
      </c>
      <c r="L46" s="547">
        <f t="shared" si="27"/>
        <v>2.6049997845124899</v>
      </c>
      <c r="M46" s="547">
        <f t="shared" si="27"/>
        <v>2.6049997845124899</v>
      </c>
      <c r="N46" s="547">
        <f t="shared" si="27"/>
        <v>2.8944442050138783</v>
      </c>
      <c r="O46" s="547">
        <f t="shared" si="27"/>
        <v>2.8944442050138783</v>
      </c>
      <c r="P46" s="547">
        <f t="shared" si="27"/>
        <v>2.8944442050138783</v>
      </c>
      <c r="Q46" s="547">
        <f t="shared" si="27"/>
        <v>2.8944442050138783</v>
      </c>
      <c r="R46" s="547">
        <f t="shared" si="27"/>
        <v>2.8944442050138783</v>
      </c>
      <c r="S46" s="547">
        <f t="shared" si="27"/>
        <v>2.8944442050138783</v>
      </c>
      <c r="T46" s="547">
        <f t="shared" si="27"/>
        <v>2.8944442050138783</v>
      </c>
      <c r="U46" s="547">
        <f t="shared" si="27"/>
        <v>2.8944442050138783</v>
      </c>
      <c r="V46" s="547">
        <f t="shared" si="27"/>
        <v>2.8944442050138783</v>
      </c>
      <c r="W46" s="547">
        <f t="shared" si="27"/>
        <v>2.8944442050138783</v>
      </c>
      <c r="X46" s="547">
        <f t="shared" si="27"/>
        <v>2.8944442050138783</v>
      </c>
      <c r="Y46" s="547">
        <f t="shared" si="27"/>
        <v>2.8944442050138783</v>
      </c>
      <c r="Z46" s="547">
        <f t="shared" si="27"/>
        <v>2.8944442050138783</v>
      </c>
      <c r="AA46" s="547">
        <f t="shared" si="27"/>
        <v>2.8944442050138783</v>
      </c>
      <c r="AB46" s="548">
        <f t="shared" si="27"/>
        <v>2.8944442050138783</v>
      </c>
      <c r="AC46" s="549">
        <f t="shared" si="27"/>
        <v>2.0261109435097144</v>
      </c>
      <c r="AD46" s="547">
        <f t="shared" si="27"/>
        <v>2.1708331537604084</v>
      </c>
      <c r="AE46" s="547">
        <f t="shared" si="27"/>
        <v>2.1708331537604084</v>
      </c>
      <c r="AF46" s="547">
        <f t="shared" si="27"/>
        <v>2.1708331537604084</v>
      </c>
      <c r="AG46" s="547">
        <f t="shared" si="27"/>
        <v>2.7135414422005106</v>
      </c>
      <c r="AH46" s="547">
        <f t="shared" si="27"/>
        <v>2.7135414422005106</v>
      </c>
      <c r="AI46" s="547">
        <f t="shared" si="27"/>
        <v>2.7135414422005106</v>
      </c>
      <c r="AJ46" s="547">
        <f t="shared" si="27"/>
        <v>2.7135414422005106</v>
      </c>
      <c r="AK46" s="547">
        <f t="shared" si="27"/>
        <v>2.7135414422005106</v>
      </c>
      <c r="AL46" s="547">
        <f t="shared" si="27"/>
        <v>2.7135414422005106</v>
      </c>
      <c r="AM46" s="547">
        <f t="shared" si="27"/>
        <v>2.0359783669358982</v>
      </c>
      <c r="AN46" s="547">
        <f t="shared" si="27"/>
        <v>2.0359783669358982</v>
      </c>
      <c r="AO46" s="547">
        <f t="shared" si="27"/>
        <v>2.0359783669358982</v>
      </c>
      <c r="AP46" s="548">
        <f t="shared" si="27"/>
        <v>2.0359783669358982</v>
      </c>
      <c r="AQ46" s="549">
        <f t="shared" si="27"/>
        <v>2.0261109435097144</v>
      </c>
    </row>
    <row r="47" spans="1:43" s="17" customFormat="1" x14ac:dyDescent="0.2">
      <c r="A47" s="550" t="s">
        <v>150</v>
      </c>
      <c r="B47" s="547">
        <f>IF(B$13="Deploy",B$36,IF($B134&gt;=0.9, B$36,B$36*$B129))</f>
        <v>2.2005635873532743</v>
      </c>
      <c r="C47" s="547">
        <f t="shared" ref="C47:AQ47" si="28">IF(C$13="Deploy",C$36,IF($B134&gt;=0.9, C$36,C$36*$B129))</f>
        <v>2.2005635873532743</v>
      </c>
      <c r="D47" s="547">
        <f t="shared" si="28"/>
        <v>2.2005635873532743</v>
      </c>
      <c r="E47" s="547">
        <f t="shared" si="28"/>
        <v>2.2005635873532743</v>
      </c>
      <c r="F47" s="547">
        <f t="shared" si="28"/>
        <v>2.2005635873532743</v>
      </c>
      <c r="G47" s="547">
        <f t="shared" si="28"/>
        <v>2.2005635873532743</v>
      </c>
      <c r="H47" s="547">
        <f t="shared" si="28"/>
        <v>2.5149298141180276</v>
      </c>
      <c r="I47" s="547">
        <f t="shared" si="28"/>
        <v>2.5149298141180276</v>
      </c>
      <c r="J47" s="547">
        <f t="shared" si="28"/>
        <v>2.5149298141180276</v>
      </c>
      <c r="K47" s="547">
        <f t="shared" si="28"/>
        <v>2.829296040882781</v>
      </c>
      <c r="L47" s="547">
        <f t="shared" si="28"/>
        <v>2.829296040882781</v>
      </c>
      <c r="M47" s="547">
        <f t="shared" si="28"/>
        <v>2.829296040882781</v>
      </c>
      <c r="N47" s="547">
        <f t="shared" si="28"/>
        <v>3.1436622676475348</v>
      </c>
      <c r="O47" s="547">
        <f t="shared" si="28"/>
        <v>3.1436622676475348</v>
      </c>
      <c r="P47" s="547">
        <f t="shared" si="28"/>
        <v>3.1436622676475348</v>
      </c>
      <c r="Q47" s="547">
        <f t="shared" si="28"/>
        <v>3.1436622676475348</v>
      </c>
      <c r="R47" s="547">
        <f t="shared" si="28"/>
        <v>8.8000000000000007</v>
      </c>
      <c r="S47" s="547">
        <f t="shared" si="28"/>
        <v>8.8000000000000007</v>
      </c>
      <c r="T47" s="547">
        <f t="shared" si="28"/>
        <v>8.8000000000000007</v>
      </c>
      <c r="U47" s="547">
        <f t="shared" si="28"/>
        <v>8.8000000000000007</v>
      </c>
      <c r="V47" s="547">
        <f t="shared" si="28"/>
        <v>8.8000000000000007</v>
      </c>
      <c r="W47" s="547">
        <f t="shared" si="28"/>
        <v>8.8000000000000007</v>
      </c>
      <c r="X47" s="547">
        <f t="shared" si="28"/>
        <v>3.1436622676475348</v>
      </c>
      <c r="Y47" s="547">
        <f t="shared" si="28"/>
        <v>3.1436622676475348</v>
      </c>
      <c r="Z47" s="547">
        <f t="shared" si="28"/>
        <v>3.1436622676475348</v>
      </c>
      <c r="AA47" s="547">
        <f t="shared" si="28"/>
        <v>3.1436622676475348</v>
      </c>
      <c r="AB47" s="548">
        <f t="shared" si="28"/>
        <v>3.1436622676475348</v>
      </c>
      <c r="AC47" s="549">
        <f>AC36</f>
        <v>6.16</v>
      </c>
      <c r="AD47" s="547">
        <f t="shared" ref="AD47:AP47" si="29">AD36</f>
        <v>6.6</v>
      </c>
      <c r="AE47" s="547">
        <f t="shared" si="29"/>
        <v>6.6</v>
      </c>
      <c r="AF47" s="547">
        <f t="shared" si="29"/>
        <v>6.6</v>
      </c>
      <c r="AG47" s="547">
        <f t="shared" si="29"/>
        <v>8.25</v>
      </c>
      <c r="AH47" s="547">
        <f t="shared" si="29"/>
        <v>8.25</v>
      </c>
      <c r="AI47" s="547">
        <f t="shared" si="29"/>
        <v>8.25</v>
      </c>
      <c r="AJ47" s="547">
        <f t="shared" si="29"/>
        <v>8.25</v>
      </c>
      <c r="AK47" s="547">
        <f t="shared" si="29"/>
        <v>8.25</v>
      </c>
      <c r="AL47" s="547">
        <f t="shared" si="29"/>
        <v>8.25</v>
      </c>
      <c r="AM47" s="547">
        <f t="shared" si="29"/>
        <v>6.19</v>
      </c>
      <c r="AN47" s="547">
        <f t="shared" si="29"/>
        <v>6.19</v>
      </c>
      <c r="AO47" s="547">
        <f t="shared" si="29"/>
        <v>6.19</v>
      </c>
      <c r="AP47" s="548">
        <f t="shared" si="29"/>
        <v>6.19</v>
      </c>
      <c r="AQ47" s="549">
        <f t="shared" si="28"/>
        <v>2.2005635873532743</v>
      </c>
    </row>
    <row r="48" spans="1:43" s="17" customFormat="1" ht="12.75" x14ac:dyDescent="0.2">
      <c r="A48" s="552" t="s">
        <v>151</v>
      </c>
      <c r="B48" s="547">
        <f t="shared" ref="B48:AQ48" si="30">IF($B135&gt;=0.9, B$36,B$36*$B135)</f>
        <v>6.16</v>
      </c>
      <c r="C48" s="547">
        <f t="shared" si="30"/>
        <v>6.16</v>
      </c>
      <c r="D48" s="547">
        <f t="shared" si="30"/>
        <v>6.16</v>
      </c>
      <c r="E48" s="547">
        <f t="shared" si="30"/>
        <v>6.16</v>
      </c>
      <c r="F48" s="547">
        <f t="shared" si="30"/>
        <v>6.16</v>
      </c>
      <c r="G48" s="547">
        <f t="shared" si="30"/>
        <v>6.16</v>
      </c>
      <c r="H48" s="547">
        <f t="shared" si="30"/>
        <v>7.04</v>
      </c>
      <c r="I48" s="547">
        <f t="shared" si="30"/>
        <v>7.04</v>
      </c>
      <c r="J48" s="547">
        <f t="shared" si="30"/>
        <v>7.04</v>
      </c>
      <c r="K48" s="547">
        <f t="shared" si="30"/>
        <v>7.92</v>
      </c>
      <c r="L48" s="547">
        <f t="shared" si="30"/>
        <v>7.92</v>
      </c>
      <c r="M48" s="547">
        <f t="shared" si="30"/>
        <v>7.92</v>
      </c>
      <c r="N48" s="547">
        <f t="shared" si="30"/>
        <v>8.8000000000000007</v>
      </c>
      <c r="O48" s="547">
        <f t="shared" si="30"/>
        <v>8.8000000000000007</v>
      </c>
      <c r="P48" s="547">
        <f t="shared" si="30"/>
        <v>8.8000000000000007</v>
      </c>
      <c r="Q48" s="547">
        <f t="shared" si="30"/>
        <v>8.8000000000000007</v>
      </c>
      <c r="R48" s="547">
        <f t="shared" si="30"/>
        <v>8.8000000000000007</v>
      </c>
      <c r="S48" s="547">
        <f t="shared" si="30"/>
        <v>8.8000000000000007</v>
      </c>
      <c r="T48" s="547">
        <f t="shared" si="30"/>
        <v>8.8000000000000007</v>
      </c>
      <c r="U48" s="547">
        <f t="shared" si="30"/>
        <v>8.8000000000000007</v>
      </c>
      <c r="V48" s="547">
        <f t="shared" si="30"/>
        <v>8.8000000000000007</v>
      </c>
      <c r="W48" s="547">
        <f t="shared" si="30"/>
        <v>8.8000000000000007</v>
      </c>
      <c r="X48" s="547">
        <f t="shared" si="30"/>
        <v>8.8000000000000007</v>
      </c>
      <c r="Y48" s="547">
        <f t="shared" si="30"/>
        <v>8.8000000000000007</v>
      </c>
      <c r="Z48" s="547">
        <f t="shared" si="30"/>
        <v>8.8000000000000007</v>
      </c>
      <c r="AA48" s="547">
        <f t="shared" si="30"/>
        <v>8.8000000000000007</v>
      </c>
      <c r="AB48" s="548">
        <f t="shared" si="30"/>
        <v>8.8000000000000007</v>
      </c>
      <c r="AC48" s="549">
        <f t="shared" si="30"/>
        <v>6.16</v>
      </c>
      <c r="AD48" s="547">
        <f t="shared" si="30"/>
        <v>6.6</v>
      </c>
      <c r="AE48" s="547">
        <f t="shared" si="30"/>
        <v>6.6</v>
      </c>
      <c r="AF48" s="547">
        <f t="shared" si="30"/>
        <v>6.6</v>
      </c>
      <c r="AG48" s="547">
        <f t="shared" si="30"/>
        <v>8.25</v>
      </c>
      <c r="AH48" s="547">
        <f t="shared" si="30"/>
        <v>8.25</v>
      </c>
      <c r="AI48" s="547">
        <f t="shared" si="30"/>
        <v>8.25</v>
      </c>
      <c r="AJ48" s="547">
        <f t="shared" si="30"/>
        <v>8.25</v>
      </c>
      <c r="AK48" s="547">
        <f t="shared" si="30"/>
        <v>8.25</v>
      </c>
      <c r="AL48" s="547">
        <f t="shared" si="30"/>
        <v>8.25</v>
      </c>
      <c r="AM48" s="547">
        <f t="shared" si="30"/>
        <v>6.19</v>
      </c>
      <c r="AN48" s="547">
        <f t="shared" si="30"/>
        <v>6.19</v>
      </c>
      <c r="AO48" s="547">
        <f t="shared" si="30"/>
        <v>6.19</v>
      </c>
      <c r="AP48" s="548">
        <f t="shared" si="30"/>
        <v>6.19</v>
      </c>
      <c r="AQ48" s="549">
        <f t="shared" si="30"/>
        <v>6.16</v>
      </c>
    </row>
    <row r="49" spans="1:43" s="17" customFormat="1" x14ac:dyDescent="0.2">
      <c r="A49" s="543" t="s">
        <v>152</v>
      </c>
      <c r="B49" s="538"/>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93"/>
      <c r="AD49" s="30"/>
      <c r="AE49" s="30"/>
      <c r="AF49" s="30"/>
      <c r="AG49" s="30"/>
      <c r="AH49" s="30"/>
      <c r="AI49" s="30"/>
      <c r="AJ49" s="30"/>
      <c r="AK49" s="30"/>
      <c r="AL49" s="30"/>
      <c r="AM49" s="30"/>
      <c r="AN49" s="30"/>
      <c r="AO49" s="30"/>
      <c r="AP49" s="94"/>
      <c r="AQ49" s="554"/>
    </row>
    <row r="50" spans="1:43" s="17" customFormat="1" x14ac:dyDescent="0.2">
      <c r="A50" s="536" t="s">
        <v>153</v>
      </c>
      <c r="B50" s="537">
        <f>ROUND(B51/0.75,2)</f>
        <v>1.64</v>
      </c>
      <c r="C50" s="537">
        <f t="shared" ref="C50:Q50" si="31">ROUND(C51/0.75,2)</f>
        <v>1.64</v>
      </c>
      <c r="D50" s="537">
        <f t="shared" si="31"/>
        <v>1.64</v>
      </c>
      <c r="E50" s="537">
        <f t="shared" si="31"/>
        <v>1.64</v>
      </c>
      <c r="F50" s="537">
        <f t="shared" si="31"/>
        <v>1.64</v>
      </c>
      <c r="G50" s="537">
        <f t="shared" si="31"/>
        <v>1.64</v>
      </c>
      <c r="H50" s="537">
        <f t="shared" si="31"/>
        <v>3.76</v>
      </c>
      <c r="I50" s="537">
        <f t="shared" si="31"/>
        <v>3.76</v>
      </c>
      <c r="J50" s="537">
        <f t="shared" si="31"/>
        <v>3.76</v>
      </c>
      <c r="K50" s="537">
        <f t="shared" si="31"/>
        <v>5.81</v>
      </c>
      <c r="L50" s="537">
        <f t="shared" si="31"/>
        <v>5.81</v>
      </c>
      <c r="M50" s="537">
        <f t="shared" si="31"/>
        <v>5.81</v>
      </c>
      <c r="N50" s="537">
        <f t="shared" si="31"/>
        <v>7.04</v>
      </c>
      <c r="O50" s="537">
        <f t="shared" si="31"/>
        <v>7.04</v>
      </c>
      <c r="P50" s="537">
        <f t="shared" si="31"/>
        <v>7.04</v>
      </c>
      <c r="Q50" s="537">
        <f t="shared" si="31"/>
        <v>7.04</v>
      </c>
      <c r="R50" s="69">
        <v>10</v>
      </c>
      <c r="S50" s="69">
        <v>10</v>
      </c>
      <c r="T50" s="69">
        <v>10</v>
      </c>
      <c r="U50" s="69">
        <v>10</v>
      </c>
      <c r="V50" s="69">
        <v>10</v>
      </c>
      <c r="W50" s="69">
        <v>10</v>
      </c>
      <c r="X50" s="537">
        <f t="shared" ref="X50:AB50" si="32">ROUND(X51/0.75,2)</f>
        <v>7.04</v>
      </c>
      <c r="Y50" s="537">
        <f t="shared" si="32"/>
        <v>7.04</v>
      </c>
      <c r="Z50" s="537">
        <f t="shared" si="32"/>
        <v>7.04</v>
      </c>
      <c r="AA50" s="537">
        <f t="shared" si="32"/>
        <v>7.04</v>
      </c>
      <c r="AB50" s="538">
        <f t="shared" si="32"/>
        <v>7.04</v>
      </c>
      <c r="AC50" s="96">
        <v>2</v>
      </c>
      <c r="AD50" s="555">
        <v>6</v>
      </c>
      <c r="AE50" s="555">
        <v>6</v>
      </c>
      <c r="AF50" s="555">
        <v>6</v>
      </c>
      <c r="AG50" s="555">
        <v>10</v>
      </c>
      <c r="AH50" s="555">
        <v>10</v>
      </c>
      <c r="AI50" s="555">
        <v>10</v>
      </c>
      <c r="AJ50" s="555">
        <v>10</v>
      </c>
      <c r="AK50" s="555">
        <v>10</v>
      </c>
      <c r="AL50" s="555">
        <v>10</v>
      </c>
      <c r="AM50" s="555">
        <v>10</v>
      </c>
      <c r="AN50" s="555">
        <v>10</v>
      </c>
      <c r="AO50" s="555">
        <v>10</v>
      </c>
      <c r="AP50" s="556">
        <v>10</v>
      </c>
      <c r="AQ50" s="118">
        <f t="shared" ref="AQ50" si="33">ROUND(AQ51/0.75,2)</f>
        <v>1.64</v>
      </c>
    </row>
    <row r="51" spans="1:43" s="17" customFormat="1" x14ac:dyDescent="0.2">
      <c r="A51" s="536" t="s">
        <v>154</v>
      </c>
      <c r="B51" s="537">
        <f t="shared" ref="B51:Q51" si="34">ROUND(IF(B$36*VLOOKUP(B$13,$L$3:$O$7,4,FALSE)&lt;0.01,0.01,B$36*VLOOKUP(B$13,$L$3:$O$7,4,FALSE)),2)</f>
        <v>1.23</v>
      </c>
      <c r="C51" s="537">
        <f t="shared" si="34"/>
        <v>1.23</v>
      </c>
      <c r="D51" s="537">
        <f t="shared" si="34"/>
        <v>1.23</v>
      </c>
      <c r="E51" s="537">
        <f t="shared" si="34"/>
        <v>1.23</v>
      </c>
      <c r="F51" s="537">
        <f t="shared" si="34"/>
        <v>1.23</v>
      </c>
      <c r="G51" s="537">
        <f t="shared" si="34"/>
        <v>1.23</v>
      </c>
      <c r="H51" s="537">
        <f t="shared" si="34"/>
        <v>2.82</v>
      </c>
      <c r="I51" s="537">
        <f t="shared" si="34"/>
        <v>2.82</v>
      </c>
      <c r="J51" s="537">
        <f t="shared" si="34"/>
        <v>2.82</v>
      </c>
      <c r="K51" s="537">
        <f t="shared" si="34"/>
        <v>4.3600000000000003</v>
      </c>
      <c r="L51" s="537">
        <f t="shared" si="34"/>
        <v>4.3600000000000003</v>
      </c>
      <c r="M51" s="537">
        <f t="shared" si="34"/>
        <v>4.3600000000000003</v>
      </c>
      <c r="N51" s="537">
        <f t="shared" si="34"/>
        <v>5.28</v>
      </c>
      <c r="O51" s="537">
        <f t="shared" si="34"/>
        <v>5.28</v>
      </c>
      <c r="P51" s="537">
        <f t="shared" si="34"/>
        <v>5.28</v>
      </c>
      <c r="Q51" s="537">
        <f t="shared" si="34"/>
        <v>5.28</v>
      </c>
      <c r="R51" s="555">
        <f>R50*0.75</f>
        <v>7.5</v>
      </c>
      <c r="S51" s="555">
        <f t="shared" ref="S51:W51" si="35">S50*0.75</f>
        <v>7.5</v>
      </c>
      <c r="T51" s="555">
        <f t="shared" si="35"/>
        <v>7.5</v>
      </c>
      <c r="U51" s="555">
        <f t="shared" si="35"/>
        <v>7.5</v>
      </c>
      <c r="V51" s="555">
        <f t="shared" si="35"/>
        <v>7.5</v>
      </c>
      <c r="W51" s="555">
        <f t="shared" si="35"/>
        <v>7.5</v>
      </c>
      <c r="X51" s="537">
        <f>ROUND(IF(X$36*VLOOKUP(X$13,$L$3:$O$7,4,FALSE)&lt;0.01,0.01,X$36*VLOOKUP(X$13,$L$3:$O$7,4,FALSE)),2)</f>
        <v>5.28</v>
      </c>
      <c r="Y51" s="537">
        <f>ROUND(IF(Y$36*VLOOKUP(Y$13,$L$3:$O$7,4,FALSE)&lt;0.01,0.01,Y$36*VLOOKUP(Y$13,$L$3:$O$7,4,FALSE)),2)</f>
        <v>5.28</v>
      </c>
      <c r="Z51" s="537">
        <f>ROUND(IF(Z$36*VLOOKUP(Z$13,$L$3:$O$7,4,FALSE)&lt;0.01,0.01,Z$36*VLOOKUP(Z$13,$L$3:$O$7,4,FALSE)),2)</f>
        <v>5.28</v>
      </c>
      <c r="AA51" s="537">
        <f>ROUND(IF(AA$36*VLOOKUP(AA$13,$L$3:$O$7,4,FALSE)&lt;0.01,0.01,AA$36*VLOOKUP(AA$13,$L$3:$O$7,4,FALSE)),2)</f>
        <v>5.28</v>
      </c>
      <c r="AB51" s="538">
        <f>ROUND(IF(AB$36*VLOOKUP(AB$13,$L$3:$O$7,4,FALSE)&lt;0.01,0.01,AB$36*VLOOKUP(AB$13,$L$3:$O$7,4,FALSE)),2)</f>
        <v>5.28</v>
      </c>
      <c r="AC51" s="95">
        <f>ROUND(IF(AC$36*$O$7&lt;0.01,0.01,AC$36*$O$7),2)</f>
        <v>3.7</v>
      </c>
      <c r="AD51" s="537">
        <f>ROUND(IF(AD$36*$O$7&lt;0.01,0.01,AD$36*$O$7),2)</f>
        <v>3.96</v>
      </c>
      <c r="AE51" s="537">
        <f>ROUND(IF(AE$36*$O$7&lt;0.01,0.01,AE$36*$O$7),2)</f>
        <v>3.96</v>
      </c>
      <c r="AF51" s="537">
        <f>ROUND(IF(AF$36*$O$7&lt;0.01,0.01,AF$36*$O$7),2)</f>
        <v>3.96</v>
      </c>
      <c r="AG51" s="555">
        <f>AG50*0.75</f>
        <v>7.5</v>
      </c>
      <c r="AH51" s="555">
        <f t="shared" ref="AH51:AP51" si="36">AH50*0.75</f>
        <v>7.5</v>
      </c>
      <c r="AI51" s="555">
        <f t="shared" si="36"/>
        <v>7.5</v>
      </c>
      <c r="AJ51" s="555">
        <f t="shared" si="36"/>
        <v>7.5</v>
      </c>
      <c r="AK51" s="555">
        <f t="shared" si="36"/>
        <v>7.5</v>
      </c>
      <c r="AL51" s="555">
        <f t="shared" si="36"/>
        <v>7.5</v>
      </c>
      <c r="AM51" s="555">
        <f t="shared" si="36"/>
        <v>7.5</v>
      </c>
      <c r="AN51" s="555">
        <f t="shared" si="36"/>
        <v>7.5</v>
      </c>
      <c r="AO51" s="555">
        <f t="shared" si="36"/>
        <v>7.5</v>
      </c>
      <c r="AP51" s="556">
        <f t="shared" si="36"/>
        <v>7.5</v>
      </c>
      <c r="AQ51" s="118">
        <f>ROUND(IF(AQ$36*$O$3&lt;0.01,0.01,AQ$36*$O$3),2)</f>
        <v>1.23</v>
      </c>
    </row>
    <row r="52" spans="1:43" s="17" customFormat="1" ht="12.75" x14ac:dyDescent="0.2">
      <c r="A52" s="528" t="s">
        <v>155</v>
      </c>
      <c r="B52" s="557"/>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97"/>
      <c r="AD52" s="559"/>
      <c r="AE52" s="559"/>
      <c r="AF52" s="559"/>
      <c r="AG52" s="559"/>
      <c r="AH52" s="559"/>
      <c r="AI52" s="559"/>
      <c r="AJ52" s="559"/>
      <c r="AK52" s="559"/>
      <c r="AL52" s="559"/>
      <c r="AM52" s="559"/>
      <c r="AN52" s="559"/>
      <c r="AO52" s="559"/>
      <c r="AP52" s="560"/>
      <c r="AQ52" s="531"/>
    </row>
    <row r="53" spans="1:43" x14ac:dyDescent="0.2">
      <c r="A53" s="507" t="str">
        <f t="shared" ref="A53:A60" si="37">A86</f>
        <v>Pilot Upper Limit</v>
      </c>
      <c r="B53" s="20">
        <f t="shared" ref="B53:AQ53" si="38">$B$86</f>
        <v>40</v>
      </c>
      <c r="C53" s="20">
        <f t="shared" si="38"/>
        <v>40</v>
      </c>
      <c r="D53" s="20">
        <f t="shared" si="38"/>
        <v>40</v>
      </c>
      <c r="E53" s="20">
        <f t="shared" si="38"/>
        <v>40</v>
      </c>
      <c r="F53" s="20">
        <f t="shared" si="38"/>
        <v>40</v>
      </c>
      <c r="G53" s="20">
        <f t="shared" si="38"/>
        <v>40</v>
      </c>
      <c r="H53" s="20">
        <f t="shared" si="38"/>
        <v>40</v>
      </c>
      <c r="I53" s="20">
        <f t="shared" si="38"/>
        <v>40</v>
      </c>
      <c r="J53" s="20">
        <f t="shared" si="38"/>
        <v>40</v>
      </c>
      <c r="K53" s="20">
        <f t="shared" si="38"/>
        <v>40</v>
      </c>
      <c r="L53" s="20">
        <f t="shared" si="38"/>
        <v>40</v>
      </c>
      <c r="M53" s="20">
        <f t="shared" si="38"/>
        <v>40</v>
      </c>
      <c r="N53" s="20">
        <f t="shared" si="38"/>
        <v>40</v>
      </c>
      <c r="O53" s="20">
        <f t="shared" si="38"/>
        <v>40</v>
      </c>
      <c r="P53" s="20">
        <f t="shared" si="38"/>
        <v>40</v>
      </c>
      <c r="Q53" s="20">
        <f t="shared" si="38"/>
        <v>40</v>
      </c>
      <c r="R53" s="20">
        <f t="shared" si="38"/>
        <v>40</v>
      </c>
      <c r="S53" s="20">
        <f t="shared" si="38"/>
        <v>40</v>
      </c>
      <c r="T53" s="20">
        <f t="shared" si="38"/>
        <v>40</v>
      </c>
      <c r="U53" s="20">
        <f t="shared" si="38"/>
        <v>40</v>
      </c>
      <c r="V53" s="20">
        <f t="shared" si="38"/>
        <v>40</v>
      </c>
      <c r="W53" s="20">
        <f t="shared" si="38"/>
        <v>40</v>
      </c>
      <c r="X53" s="20">
        <f t="shared" si="38"/>
        <v>40</v>
      </c>
      <c r="Y53" s="20">
        <f t="shared" si="38"/>
        <v>40</v>
      </c>
      <c r="Z53" s="20">
        <f t="shared" si="38"/>
        <v>40</v>
      </c>
      <c r="AA53" s="20">
        <f t="shared" si="38"/>
        <v>40</v>
      </c>
      <c r="AB53" s="85">
        <f t="shared" si="38"/>
        <v>40</v>
      </c>
      <c r="AC53" s="98">
        <f t="shared" si="38"/>
        <v>40</v>
      </c>
      <c r="AD53" s="20">
        <f t="shared" si="38"/>
        <v>40</v>
      </c>
      <c r="AE53" s="20">
        <f t="shared" si="38"/>
        <v>40</v>
      </c>
      <c r="AF53" s="20">
        <f t="shared" si="38"/>
        <v>40</v>
      </c>
      <c r="AG53" s="20">
        <f t="shared" si="38"/>
        <v>40</v>
      </c>
      <c r="AH53" s="20">
        <f t="shared" si="38"/>
        <v>40</v>
      </c>
      <c r="AI53" s="20">
        <f t="shared" si="38"/>
        <v>40</v>
      </c>
      <c r="AJ53" s="20">
        <f t="shared" si="38"/>
        <v>40</v>
      </c>
      <c r="AK53" s="20">
        <f t="shared" si="38"/>
        <v>40</v>
      </c>
      <c r="AL53" s="20">
        <f t="shared" si="38"/>
        <v>40</v>
      </c>
      <c r="AM53" s="20">
        <f t="shared" si="38"/>
        <v>40</v>
      </c>
      <c r="AN53" s="20">
        <f t="shared" si="38"/>
        <v>40</v>
      </c>
      <c r="AO53" s="20">
        <f t="shared" si="38"/>
        <v>40</v>
      </c>
      <c r="AP53" s="99">
        <f t="shared" si="38"/>
        <v>40</v>
      </c>
      <c r="AQ53" s="561">
        <f t="shared" si="38"/>
        <v>40</v>
      </c>
    </row>
    <row r="54" spans="1:43" x14ac:dyDescent="0.2">
      <c r="A54" s="562" t="str">
        <f t="shared" si="37"/>
        <v>Pilot Lower Limit</v>
      </c>
      <c r="B54" s="563">
        <f t="shared" ref="B54:AQ54" si="39">ROUNDUP(IF(B$13="Deploy",MAX((B$80/100)*$B87,$B87),(B$80/100)*$B87),0)</f>
        <v>15</v>
      </c>
      <c r="C54" s="563">
        <f t="shared" si="39"/>
        <v>15</v>
      </c>
      <c r="D54" s="563">
        <f t="shared" si="39"/>
        <v>15</v>
      </c>
      <c r="E54" s="563">
        <f t="shared" si="39"/>
        <v>15</v>
      </c>
      <c r="F54" s="563">
        <f t="shared" si="39"/>
        <v>15</v>
      </c>
      <c r="G54" s="563">
        <f t="shared" si="39"/>
        <v>15</v>
      </c>
      <c r="H54" s="563">
        <f t="shared" si="39"/>
        <v>19</v>
      </c>
      <c r="I54" s="563">
        <f t="shared" si="39"/>
        <v>22</v>
      </c>
      <c r="J54" s="563">
        <f t="shared" si="39"/>
        <v>25</v>
      </c>
      <c r="K54" s="563">
        <f t="shared" si="39"/>
        <v>26</v>
      </c>
      <c r="L54" s="563">
        <f t="shared" si="39"/>
        <v>30</v>
      </c>
      <c r="M54" s="563">
        <f t="shared" si="39"/>
        <v>34</v>
      </c>
      <c r="N54" s="563">
        <f t="shared" si="39"/>
        <v>34</v>
      </c>
      <c r="O54" s="563">
        <f t="shared" si="39"/>
        <v>34</v>
      </c>
      <c r="P54" s="563">
        <f t="shared" si="39"/>
        <v>34</v>
      </c>
      <c r="Q54" s="563">
        <f t="shared" si="39"/>
        <v>34</v>
      </c>
      <c r="R54" s="563">
        <f t="shared" si="39"/>
        <v>40</v>
      </c>
      <c r="S54" s="563">
        <f t="shared" si="39"/>
        <v>40</v>
      </c>
      <c r="T54" s="563">
        <f t="shared" si="39"/>
        <v>40</v>
      </c>
      <c r="U54" s="563">
        <f t="shared" si="39"/>
        <v>40</v>
      </c>
      <c r="V54" s="563">
        <f t="shared" si="39"/>
        <v>40</v>
      </c>
      <c r="W54" s="563">
        <f t="shared" si="39"/>
        <v>40</v>
      </c>
      <c r="X54" s="563">
        <f t="shared" si="39"/>
        <v>38</v>
      </c>
      <c r="Y54" s="563">
        <f t="shared" si="39"/>
        <v>37</v>
      </c>
      <c r="Z54" s="563">
        <f t="shared" si="39"/>
        <v>34</v>
      </c>
      <c r="AA54" s="563">
        <f t="shared" si="39"/>
        <v>34</v>
      </c>
      <c r="AB54" s="564">
        <f t="shared" si="39"/>
        <v>33</v>
      </c>
      <c r="AC54" s="135">
        <f t="shared" si="39"/>
        <v>15</v>
      </c>
      <c r="AD54" s="564">
        <f t="shared" si="39"/>
        <v>19</v>
      </c>
      <c r="AE54" s="564">
        <f t="shared" si="39"/>
        <v>22</v>
      </c>
      <c r="AF54" s="564">
        <f t="shared" si="39"/>
        <v>25</v>
      </c>
      <c r="AG54" s="564">
        <f t="shared" si="39"/>
        <v>26</v>
      </c>
      <c r="AH54" s="564">
        <f t="shared" si="39"/>
        <v>30</v>
      </c>
      <c r="AI54" s="564">
        <f t="shared" si="39"/>
        <v>34</v>
      </c>
      <c r="AJ54" s="564">
        <f t="shared" si="39"/>
        <v>34</v>
      </c>
      <c r="AK54" s="564">
        <f t="shared" si="39"/>
        <v>34</v>
      </c>
      <c r="AL54" s="564">
        <f t="shared" si="39"/>
        <v>34</v>
      </c>
      <c r="AM54" s="564">
        <f t="shared" si="39"/>
        <v>37</v>
      </c>
      <c r="AN54" s="564">
        <f t="shared" si="39"/>
        <v>34</v>
      </c>
      <c r="AO54" s="564">
        <f t="shared" si="39"/>
        <v>34</v>
      </c>
      <c r="AP54" s="565">
        <f t="shared" si="39"/>
        <v>33</v>
      </c>
      <c r="AQ54" s="566">
        <f t="shared" si="39"/>
        <v>15</v>
      </c>
    </row>
    <row r="55" spans="1:43" x14ac:dyDescent="0.2">
      <c r="A55" s="507" t="str">
        <f t="shared" si="37"/>
        <v>Aircrew Upper Limit</v>
      </c>
      <c r="B55" s="567">
        <f t="shared" ref="B55:AQ55" si="40">$B$88</f>
        <v>20</v>
      </c>
      <c r="C55" s="567">
        <f t="shared" si="40"/>
        <v>20</v>
      </c>
      <c r="D55" s="567">
        <f t="shared" si="40"/>
        <v>20</v>
      </c>
      <c r="E55" s="567">
        <f t="shared" si="40"/>
        <v>20</v>
      </c>
      <c r="F55" s="567">
        <f t="shared" si="40"/>
        <v>20</v>
      </c>
      <c r="G55" s="567">
        <f t="shared" si="40"/>
        <v>20</v>
      </c>
      <c r="H55" s="567">
        <f t="shared" si="40"/>
        <v>20</v>
      </c>
      <c r="I55" s="567">
        <f t="shared" si="40"/>
        <v>20</v>
      </c>
      <c r="J55" s="567">
        <f t="shared" si="40"/>
        <v>20</v>
      </c>
      <c r="K55" s="567">
        <f t="shared" si="40"/>
        <v>20</v>
      </c>
      <c r="L55" s="567">
        <f t="shared" si="40"/>
        <v>20</v>
      </c>
      <c r="M55" s="567">
        <f t="shared" si="40"/>
        <v>20</v>
      </c>
      <c r="N55" s="567">
        <f t="shared" si="40"/>
        <v>20</v>
      </c>
      <c r="O55" s="567">
        <f t="shared" si="40"/>
        <v>20</v>
      </c>
      <c r="P55" s="567">
        <f t="shared" si="40"/>
        <v>20</v>
      </c>
      <c r="Q55" s="567">
        <f t="shared" si="40"/>
        <v>20</v>
      </c>
      <c r="R55" s="567">
        <f t="shared" si="40"/>
        <v>20</v>
      </c>
      <c r="S55" s="567">
        <f t="shared" si="40"/>
        <v>20</v>
      </c>
      <c r="T55" s="567">
        <f t="shared" si="40"/>
        <v>20</v>
      </c>
      <c r="U55" s="567">
        <f t="shared" si="40"/>
        <v>20</v>
      </c>
      <c r="V55" s="567">
        <f t="shared" si="40"/>
        <v>20</v>
      </c>
      <c r="W55" s="567">
        <f t="shared" si="40"/>
        <v>20</v>
      </c>
      <c r="X55" s="567">
        <f t="shared" si="40"/>
        <v>20</v>
      </c>
      <c r="Y55" s="567">
        <f t="shared" si="40"/>
        <v>20</v>
      </c>
      <c r="Z55" s="567">
        <f t="shared" si="40"/>
        <v>20</v>
      </c>
      <c r="AA55" s="567">
        <f t="shared" si="40"/>
        <v>20</v>
      </c>
      <c r="AB55" s="568">
        <f t="shared" si="40"/>
        <v>20</v>
      </c>
      <c r="AC55" s="101">
        <f t="shared" si="40"/>
        <v>20</v>
      </c>
      <c r="AD55" s="567">
        <f t="shared" si="40"/>
        <v>20</v>
      </c>
      <c r="AE55" s="567">
        <f t="shared" si="40"/>
        <v>20</v>
      </c>
      <c r="AF55" s="567">
        <f t="shared" si="40"/>
        <v>20</v>
      </c>
      <c r="AG55" s="567">
        <f t="shared" si="40"/>
        <v>20</v>
      </c>
      <c r="AH55" s="567">
        <f t="shared" si="40"/>
        <v>20</v>
      </c>
      <c r="AI55" s="567">
        <f t="shared" si="40"/>
        <v>20</v>
      </c>
      <c r="AJ55" s="567">
        <f t="shared" si="40"/>
        <v>20</v>
      </c>
      <c r="AK55" s="567">
        <f t="shared" si="40"/>
        <v>20</v>
      </c>
      <c r="AL55" s="567">
        <f t="shared" si="40"/>
        <v>20</v>
      </c>
      <c r="AM55" s="567">
        <f t="shared" si="40"/>
        <v>20</v>
      </c>
      <c r="AN55" s="567">
        <f t="shared" si="40"/>
        <v>20</v>
      </c>
      <c r="AO55" s="567">
        <f t="shared" si="40"/>
        <v>20</v>
      </c>
      <c r="AP55" s="569">
        <f t="shared" si="40"/>
        <v>20</v>
      </c>
      <c r="AQ55" s="570">
        <f t="shared" si="40"/>
        <v>20</v>
      </c>
    </row>
    <row r="56" spans="1:43" x14ac:dyDescent="0.2">
      <c r="A56" s="562" t="str">
        <f t="shared" si="37"/>
        <v>Aircrew Lower Limit</v>
      </c>
      <c r="B56" s="563">
        <f t="shared" ref="B56:AQ56" si="41">ROUNDUP(IF(B$13="Deploy",MAX((B$80/100)*$B89,$B89),(B$80/100)*$B89),0)</f>
        <v>8</v>
      </c>
      <c r="C56" s="563">
        <f t="shared" si="41"/>
        <v>8</v>
      </c>
      <c r="D56" s="563">
        <f t="shared" si="41"/>
        <v>8</v>
      </c>
      <c r="E56" s="563">
        <f t="shared" si="41"/>
        <v>8</v>
      </c>
      <c r="F56" s="563">
        <f t="shared" si="41"/>
        <v>8</v>
      </c>
      <c r="G56" s="563">
        <f t="shared" si="41"/>
        <v>8</v>
      </c>
      <c r="H56" s="563">
        <f t="shared" si="41"/>
        <v>10</v>
      </c>
      <c r="I56" s="563">
        <f t="shared" si="41"/>
        <v>11</v>
      </c>
      <c r="J56" s="563">
        <f t="shared" si="41"/>
        <v>13</v>
      </c>
      <c r="K56" s="563">
        <f t="shared" si="41"/>
        <v>13</v>
      </c>
      <c r="L56" s="563">
        <f t="shared" si="41"/>
        <v>15</v>
      </c>
      <c r="M56" s="563">
        <f t="shared" si="41"/>
        <v>17</v>
      </c>
      <c r="N56" s="563">
        <f t="shared" si="41"/>
        <v>17</v>
      </c>
      <c r="O56" s="563">
        <f t="shared" si="41"/>
        <v>17</v>
      </c>
      <c r="P56" s="563">
        <f t="shared" si="41"/>
        <v>17</v>
      </c>
      <c r="Q56" s="563">
        <f t="shared" si="41"/>
        <v>17</v>
      </c>
      <c r="R56" s="563">
        <f t="shared" si="41"/>
        <v>20</v>
      </c>
      <c r="S56" s="563">
        <f t="shared" si="41"/>
        <v>20</v>
      </c>
      <c r="T56" s="563">
        <f t="shared" si="41"/>
        <v>20</v>
      </c>
      <c r="U56" s="563">
        <f t="shared" si="41"/>
        <v>20</v>
      </c>
      <c r="V56" s="563">
        <f t="shared" si="41"/>
        <v>20</v>
      </c>
      <c r="W56" s="563">
        <f t="shared" si="41"/>
        <v>20</v>
      </c>
      <c r="X56" s="563">
        <f t="shared" si="41"/>
        <v>19</v>
      </c>
      <c r="Y56" s="563">
        <f t="shared" si="41"/>
        <v>19</v>
      </c>
      <c r="Z56" s="563">
        <f t="shared" si="41"/>
        <v>17</v>
      </c>
      <c r="AA56" s="563">
        <f t="shared" si="41"/>
        <v>17</v>
      </c>
      <c r="AB56" s="564">
        <f t="shared" si="41"/>
        <v>17</v>
      </c>
      <c r="AC56" s="100">
        <f t="shared" si="41"/>
        <v>8</v>
      </c>
      <c r="AD56" s="563">
        <f t="shared" si="41"/>
        <v>10</v>
      </c>
      <c r="AE56" s="563">
        <f t="shared" si="41"/>
        <v>11</v>
      </c>
      <c r="AF56" s="563">
        <f t="shared" si="41"/>
        <v>13</v>
      </c>
      <c r="AG56" s="563">
        <f t="shared" si="41"/>
        <v>13</v>
      </c>
      <c r="AH56" s="563">
        <f t="shared" si="41"/>
        <v>15</v>
      </c>
      <c r="AI56" s="563">
        <f t="shared" si="41"/>
        <v>17</v>
      </c>
      <c r="AJ56" s="563">
        <f t="shared" si="41"/>
        <v>17</v>
      </c>
      <c r="AK56" s="563">
        <f t="shared" si="41"/>
        <v>17</v>
      </c>
      <c r="AL56" s="563">
        <f t="shared" si="41"/>
        <v>17</v>
      </c>
      <c r="AM56" s="563">
        <f t="shared" si="41"/>
        <v>19</v>
      </c>
      <c r="AN56" s="563">
        <f t="shared" si="41"/>
        <v>17</v>
      </c>
      <c r="AO56" s="563">
        <f t="shared" si="41"/>
        <v>17</v>
      </c>
      <c r="AP56" s="565">
        <f t="shared" si="41"/>
        <v>17</v>
      </c>
      <c r="AQ56" s="566">
        <f t="shared" si="41"/>
        <v>8</v>
      </c>
    </row>
    <row r="57" spans="1:43" x14ac:dyDescent="0.2">
      <c r="A57" s="562" t="str">
        <f t="shared" si="37"/>
        <v>&gt; L4 Pilots</v>
      </c>
      <c r="B57" s="563">
        <f t="shared" ref="B57:AQ57" si="42">ROUNDUP(IF(B$13="Deploy",MAX((B$80/100)*$B90,$B90),(B$80/100)*$B90),0)</f>
        <v>3</v>
      </c>
      <c r="C57" s="563">
        <f t="shared" si="42"/>
        <v>3</v>
      </c>
      <c r="D57" s="563">
        <f t="shared" si="42"/>
        <v>3</v>
      </c>
      <c r="E57" s="563">
        <f t="shared" si="42"/>
        <v>3</v>
      </c>
      <c r="F57" s="563">
        <f t="shared" si="42"/>
        <v>3</v>
      </c>
      <c r="G57" s="563">
        <f t="shared" si="42"/>
        <v>3</v>
      </c>
      <c r="H57" s="563">
        <f t="shared" si="42"/>
        <v>4</v>
      </c>
      <c r="I57" s="563">
        <f t="shared" si="42"/>
        <v>4</v>
      </c>
      <c r="J57" s="563">
        <f t="shared" si="42"/>
        <v>5</v>
      </c>
      <c r="K57" s="563">
        <f t="shared" si="42"/>
        <v>5</v>
      </c>
      <c r="L57" s="563">
        <f t="shared" si="42"/>
        <v>6</v>
      </c>
      <c r="M57" s="563">
        <f t="shared" si="42"/>
        <v>6</v>
      </c>
      <c r="N57" s="563">
        <f t="shared" si="42"/>
        <v>6</v>
      </c>
      <c r="O57" s="563">
        <f t="shared" si="42"/>
        <v>6</v>
      </c>
      <c r="P57" s="563">
        <f t="shared" si="42"/>
        <v>6</v>
      </c>
      <c r="Q57" s="563">
        <f t="shared" si="42"/>
        <v>6</v>
      </c>
      <c r="R57" s="563">
        <f t="shared" si="42"/>
        <v>7</v>
      </c>
      <c r="S57" s="563">
        <f t="shared" si="42"/>
        <v>7</v>
      </c>
      <c r="T57" s="563">
        <f t="shared" si="42"/>
        <v>7</v>
      </c>
      <c r="U57" s="563">
        <f t="shared" si="42"/>
        <v>7</v>
      </c>
      <c r="V57" s="563">
        <f t="shared" si="42"/>
        <v>7</v>
      </c>
      <c r="W57" s="563">
        <f t="shared" si="42"/>
        <v>7</v>
      </c>
      <c r="X57" s="563">
        <f t="shared" si="42"/>
        <v>7</v>
      </c>
      <c r="Y57" s="563">
        <f t="shared" si="42"/>
        <v>7</v>
      </c>
      <c r="Z57" s="563">
        <f t="shared" si="42"/>
        <v>6</v>
      </c>
      <c r="AA57" s="563">
        <f t="shared" si="42"/>
        <v>6</v>
      </c>
      <c r="AB57" s="564">
        <f t="shared" si="42"/>
        <v>6</v>
      </c>
      <c r="AC57" s="100">
        <f t="shared" si="42"/>
        <v>3</v>
      </c>
      <c r="AD57" s="563">
        <f t="shared" si="42"/>
        <v>4</v>
      </c>
      <c r="AE57" s="563">
        <f t="shared" si="42"/>
        <v>4</v>
      </c>
      <c r="AF57" s="563">
        <f t="shared" si="42"/>
        <v>5</v>
      </c>
      <c r="AG57" s="563">
        <f t="shared" si="42"/>
        <v>5</v>
      </c>
      <c r="AH57" s="563">
        <f t="shared" si="42"/>
        <v>6</v>
      </c>
      <c r="AI57" s="563">
        <f t="shared" si="42"/>
        <v>6</v>
      </c>
      <c r="AJ57" s="563">
        <f t="shared" si="42"/>
        <v>6</v>
      </c>
      <c r="AK57" s="563">
        <f t="shared" si="42"/>
        <v>6</v>
      </c>
      <c r="AL57" s="563">
        <f t="shared" si="42"/>
        <v>6</v>
      </c>
      <c r="AM57" s="563">
        <f t="shared" si="42"/>
        <v>7</v>
      </c>
      <c r="AN57" s="563">
        <f t="shared" si="42"/>
        <v>6</v>
      </c>
      <c r="AO57" s="563">
        <f t="shared" si="42"/>
        <v>6</v>
      </c>
      <c r="AP57" s="565">
        <f t="shared" si="42"/>
        <v>6</v>
      </c>
      <c r="AQ57" s="566">
        <f t="shared" si="42"/>
        <v>3</v>
      </c>
    </row>
    <row r="58" spans="1:43" s="21" customFormat="1" x14ac:dyDescent="0.2">
      <c r="A58" s="562" t="str">
        <f t="shared" si="37"/>
        <v>&gt; L3 Pilots</v>
      </c>
      <c r="B58" s="563">
        <f t="shared" ref="B58:AQ58" si="43">ROUNDUP(IF(B$13="Deploy",MAX((B$80/100)*$B91,$B91),(B$80/100)*$B91),0)</f>
        <v>6</v>
      </c>
      <c r="C58" s="563">
        <f t="shared" si="43"/>
        <v>6</v>
      </c>
      <c r="D58" s="563">
        <f t="shared" si="43"/>
        <v>6</v>
      </c>
      <c r="E58" s="563">
        <f t="shared" si="43"/>
        <v>6</v>
      </c>
      <c r="F58" s="563">
        <f t="shared" si="43"/>
        <v>6</v>
      </c>
      <c r="G58" s="563">
        <f t="shared" si="43"/>
        <v>6</v>
      </c>
      <c r="H58" s="563">
        <f t="shared" si="43"/>
        <v>8</v>
      </c>
      <c r="I58" s="563">
        <f t="shared" si="43"/>
        <v>9</v>
      </c>
      <c r="J58" s="563">
        <f t="shared" si="43"/>
        <v>10</v>
      </c>
      <c r="K58" s="563">
        <f t="shared" si="43"/>
        <v>11</v>
      </c>
      <c r="L58" s="563">
        <f t="shared" si="43"/>
        <v>12</v>
      </c>
      <c r="M58" s="563">
        <f t="shared" si="43"/>
        <v>14</v>
      </c>
      <c r="N58" s="563">
        <f t="shared" si="43"/>
        <v>14</v>
      </c>
      <c r="O58" s="563">
        <f t="shared" si="43"/>
        <v>14</v>
      </c>
      <c r="P58" s="563">
        <f t="shared" si="43"/>
        <v>14</v>
      </c>
      <c r="Q58" s="563">
        <f t="shared" si="43"/>
        <v>14</v>
      </c>
      <c r="R58" s="563">
        <f t="shared" si="43"/>
        <v>16</v>
      </c>
      <c r="S58" s="563">
        <f t="shared" si="43"/>
        <v>16</v>
      </c>
      <c r="T58" s="563">
        <f t="shared" si="43"/>
        <v>16</v>
      </c>
      <c r="U58" s="563">
        <f t="shared" si="43"/>
        <v>16</v>
      </c>
      <c r="V58" s="563">
        <f t="shared" si="43"/>
        <v>16</v>
      </c>
      <c r="W58" s="563">
        <f t="shared" si="43"/>
        <v>16</v>
      </c>
      <c r="X58" s="563">
        <f t="shared" si="43"/>
        <v>16</v>
      </c>
      <c r="Y58" s="563">
        <f t="shared" si="43"/>
        <v>15</v>
      </c>
      <c r="Z58" s="563">
        <f t="shared" si="43"/>
        <v>14</v>
      </c>
      <c r="AA58" s="563">
        <f t="shared" si="43"/>
        <v>14</v>
      </c>
      <c r="AB58" s="564">
        <f t="shared" si="43"/>
        <v>13</v>
      </c>
      <c r="AC58" s="100">
        <f t="shared" si="43"/>
        <v>6</v>
      </c>
      <c r="AD58" s="563">
        <f t="shared" si="43"/>
        <v>8</v>
      </c>
      <c r="AE58" s="563">
        <f t="shared" si="43"/>
        <v>9</v>
      </c>
      <c r="AF58" s="563">
        <f t="shared" si="43"/>
        <v>10</v>
      </c>
      <c r="AG58" s="563">
        <f t="shared" si="43"/>
        <v>11</v>
      </c>
      <c r="AH58" s="563">
        <f t="shared" si="43"/>
        <v>12</v>
      </c>
      <c r="AI58" s="563">
        <f t="shared" si="43"/>
        <v>14</v>
      </c>
      <c r="AJ58" s="563">
        <f t="shared" si="43"/>
        <v>14</v>
      </c>
      <c r="AK58" s="563">
        <f t="shared" si="43"/>
        <v>14</v>
      </c>
      <c r="AL58" s="563">
        <f t="shared" si="43"/>
        <v>14</v>
      </c>
      <c r="AM58" s="563">
        <f t="shared" si="43"/>
        <v>15</v>
      </c>
      <c r="AN58" s="563">
        <f t="shared" si="43"/>
        <v>14</v>
      </c>
      <c r="AO58" s="563">
        <f t="shared" si="43"/>
        <v>14</v>
      </c>
      <c r="AP58" s="565">
        <f t="shared" si="43"/>
        <v>13</v>
      </c>
      <c r="AQ58" s="566">
        <f t="shared" si="43"/>
        <v>6</v>
      </c>
    </row>
    <row r="59" spans="1:43" s="21" customFormat="1" x14ac:dyDescent="0.2">
      <c r="A59" s="562" t="str">
        <f t="shared" si="37"/>
        <v>&gt; L2 Pilots</v>
      </c>
      <c r="B59" s="563">
        <f t="shared" ref="B59:AQ59" si="44">ROUNDUP(IF(B$13="Deploy",MAX((B$80/100)*$B92,$B92),(B$80/100)*$B92),0)</f>
        <v>12</v>
      </c>
      <c r="C59" s="563">
        <f t="shared" si="44"/>
        <v>12</v>
      </c>
      <c r="D59" s="563">
        <f t="shared" si="44"/>
        <v>12</v>
      </c>
      <c r="E59" s="563">
        <f t="shared" si="44"/>
        <v>12</v>
      </c>
      <c r="F59" s="563">
        <f t="shared" si="44"/>
        <v>12</v>
      </c>
      <c r="G59" s="563">
        <f t="shared" si="44"/>
        <v>12</v>
      </c>
      <c r="H59" s="563">
        <f t="shared" si="44"/>
        <v>15</v>
      </c>
      <c r="I59" s="563">
        <f t="shared" si="44"/>
        <v>18</v>
      </c>
      <c r="J59" s="563">
        <f t="shared" si="44"/>
        <v>20</v>
      </c>
      <c r="K59" s="563">
        <f t="shared" si="44"/>
        <v>21</v>
      </c>
      <c r="L59" s="563">
        <f t="shared" si="44"/>
        <v>24</v>
      </c>
      <c r="M59" s="563">
        <f t="shared" si="44"/>
        <v>28</v>
      </c>
      <c r="N59" s="563">
        <f t="shared" si="44"/>
        <v>28</v>
      </c>
      <c r="O59" s="563">
        <f t="shared" si="44"/>
        <v>28</v>
      </c>
      <c r="P59" s="563">
        <f t="shared" si="44"/>
        <v>28</v>
      </c>
      <c r="Q59" s="563">
        <f t="shared" si="44"/>
        <v>28</v>
      </c>
      <c r="R59" s="563">
        <f t="shared" si="44"/>
        <v>32</v>
      </c>
      <c r="S59" s="563">
        <f t="shared" si="44"/>
        <v>32</v>
      </c>
      <c r="T59" s="563">
        <f t="shared" si="44"/>
        <v>32</v>
      </c>
      <c r="U59" s="563">
        <f t="shared" si="44"/>
        <v>32</v>
      </c>
      <c r="V59" s="563">
        <f t="shared" si="44"/>
        <v>32</v>
      </c>
      <c r="W59" s="563">
        <f t="shared" si="44"/>
        <v>32</v>
      </c>
      <c r="X59" s="563">
        <f t="shared" si="44"/>
        <v>31</v>
      </c>
      <c r="Y59" s="563">
        <f t="shared" si="44"/>
        <v>30</v>
      </c>
      <c r="Z59" s="563">
        <f t="shared" si="44"/>
        <v>28</v>
      </c>
      <c r="AA59" s="563">
        <f t="shared" si="44"/>
        <v>27</v>
      </c>
      <c r="AB59" s="564">
        <f t="shared" si="44"/>
        <v>26</v>
      </c>
      <c r="AC59" s="100">
        <f t="shared" si="44"/>
        <v>12</v>
      </c>
      <c r="AD59" s="563">
        <f t="shared" si="44"/>
        <v>15</v>
      </c>
      <c r="AE59" s="563">
        <f t="shared" si="44"/>
        <v>18</v>
      </c>
      <c r="AF59" s="563">
        <f t="shared" si="44"/>
        <v>20</v>
      </c>
      <c r="AG59" s="563">
        <f t="shared" si="44"/>
        <v>21</v>
      </c>
      <c r="AH59" s="563">
        <f t="shared" si="44"/>
        <v>24</v>
      </c>
      <c r="AI59" s="563">
        <f t="shared" si="44"/>
        <v>28</v>
      </c>
      <c r="AJ59" s="563">
        <f t="shared" si="44"/>
        <v>28</v>
      </c>
      <c r="AK59" s="563">
        <f t="shared" si="44"/>
        <v>28</v>
      </c>
      <c r="AL59" s="563">
        <f t="shared" si="44"/>
        <v>28</v>
      </c>
      <c r="AM59" s="563">
        <f t="shared" si="44"/>
        <v>30</v>
      </c>
      <c r="AN59" s="563">
        <f t="shared" si="44"/>
        <v>28</v>
      </c>
      <c r="AO59" s="563">
        <f t="shared" si="44"/>
        <v>27</v>
      </c>
      <c r="AP59" s="565">
        <f t="shared" si="44"/>
        <v>26</v>
      </c>
      <c r="AQ59" s="566">
        <f t="shared" si="44"/>
        <v>12</v>
      </c>
    </row>
    <row r="60" spans="1:43" s="21" customFormat="1" x14ac:dyDescent="0.2">
      <c r="A60" s="562" t="str">
        <f t="shared" si="37"/>
        <v>&gt; L1 Pilots</v>
      </c>
      <c r="B60" s="563">
        <f t="shared" ref="B60:AQ60" si="45">ROUNDUP(IF(B$13="Deploy",MAX((B$80/100)*$B93,$B93),(B$80/100)*$B93),0)</f>
        <v>12</v>
      </c>
      <c r="C60" s="563">
        <f t="shared" si="45"/>
        <v>12</v>
      </c>
      <c r="D60" s="563">
        <f t="shared" si="45"/>
        <v>12</v>
      </c>
      <c r="E60" s="563">
        <f t="shared" si="45"/>
        <v>12</v>
      </c>
      <c r="F60" s="563">
        <f t="shared" si="45"/>
        <v>12</v>
      </c>
      <c r="G60" s="563">
        <f t="shared" si="45"/>
        <v>12</v>
      </c>
      <c r="H60" s="563">
        <f t="shared" si="45"/>
        <v>15</v>
      </c>
      <c r="I60" s="563">
        <f t="shared" si="45"/>
        <v>18</v>
      </c>
      <c r="J60" s="563">
        <f t="shared" si="45"/>
        <v>20</v>
      </c>
      <c r="K60" s="563">
        <f t="shared" si="45"/>
        <v>21</v>
      </c>
      <c r="L60" s="563">
        <f t="shared" si="45"/>
        <v>24</v>
      </c>
      <c r="M60" s="563">
        <f t="shared" si="45"/>
        <v>28</v>
      </c>
      <c r="N60" s="563">
        <f t="shared" si="45"/>
        <v>28</v>
      </c>
      <c r="O60" s="563">
        <f t="shared" si="45"/>
        <v>28</v>
      </c>
      <c r="P60" s="563">
        <f t="shared" si="45"/>
        <v>28</v>
      </c>
      <c r="Q60" s="563">
        <f t="shared" si="45"/>
        <v>28</v>
      </c>
      <c r="R60" s="563">
        <f t="shared" si="45"/>
        <v>32</v>
      </c>
      <c r="S60" s="563">
        <f t="shared" si="45"/>
        <v>32</v>
      </c>
      <c r="T60" s="563">
        <f t="shared" si="45"/>
        <v>32</v>
      </c>
      <c r="U60" s="563">
        <f t="shared" si="45"/>
        <v>32</v>
      </c>
      <c r="V60" s="563">
        <f t="shared" si="45"/>
        <v>32</v>
      </c>
      <c r="W60" s="563">
        <f t="shared" si="45"/>
        <v>32</v>
      </c>
      <c r="X60" s="563">
        <f t="shared" si="45"/>
        <v>31</v>
      </c>
      <c r="Y60" s="563">
        <f t="shared" si="45"/>
        <v>30</v>
      </c>
      <c r="Z60" s="563">
        <f t="shared" si="45"/>
        <v>28</v>
      </c>
      <c r="AA60" s="563">
        <f t="shared" si="45"/>
        <v>27</v>
      </c>
      <c r="AB60" s="564">
        <f t="shared" si="45"/>
        <v>26</v>
      </c>
      <c r="AC60" s="100">
        <f t="shared" si="45"/>
        <v>12</v>
      </c>
      <c r="AD60" s="563">
        <f t="shared" si="45"/>
        <v>15</v>
      </c>
      <c r="AE60" s="563">
        <f t="shared" si="45"/>
        <v>18</v>
      </c>
      <c r="AF60" s="563">
        <f t="shared" si="45"/>
        <v>20</v>
      </c>
      <c r="AG60" s="563">
        <f t="shared" si="45"/>
        <v>21</v>
      </c>
      <c r="AH60" s="563">
        <f t="shared" si="45"/>
        <v>24</v>
      </c>
      <c r="AI60" s="563">
        <f t="shared" si="45"/>
        <v>28</v>
      </c>
      <c r="AJ60" s="563">
        <f t="shared" si="45"/>
        <v>28</v>
      </c>
      <c r="AK60" s="563">
        <f t="shared" si="45"/>
        <v>28</v>
      </c>
      <c r="AL60" s="563">
        <f t="shared" si="45"/>
        <v>28</v>
      </c>
      <c r="AM60" s="563">
        <f t="shared" si="45"/>
        <v>30</v>
      </c>
      <c r="AN60" s="563">
        <f t="shared" si="45"/>
        <v>28</v>
      </c>
      <c r="AO60" s="563">
        <f t="shared" si="45"/>
        <v>27</v>
      </c>
      <c r="AP60" s="565">
        <f t="shared" si="45"/>
        <v>26</v>
      </c>
      <c r="AQ60" s="566">
        <f t="shared" si="45"/>
        <v>12</v>
      </c>
    </row>
    <row r="61" spans="1:43" s="21" customFormat="1" x14ac:dyDescent="0.2">
      <c r="A61" s="562" t="str">
        <f t="shared" ref="A61:A63" si="46">A94</f>
        <v>&gt; L3 Crewman</v>
      </c>
      <c r="B61" s="563">
        <f t="shared" ref="B61:AQ61" si="47">ROUNDUP(IF(B$13="Deploy",MAX((B$80/100)*$B94,$B94),(B$80/100)*$B94),0)</f>
        <v>3</v>
      </c>
      <c r="C61" s="563">
        <f t="shared" si="47"/>
        <v>3</v>
      </c>
      <c r="D61" s="563">
        <f t="shared" si="47"/>
        <v>3</v>
      </c>
      <c r="E61" s="563">
        <f t="shared" si="47"/>
        <v>3</v>
      </c>
      <c r="F61" s="563">
        <f t="shared" si="47"/>
        <v>3</v>
      </c>
      <c r="G61" s="563">
        <f t="shared" si="47"/>
        <v>3</v>
      </c>
      <c r="H61" s="563">
        <f t="shared" si="47"/>
        <v>4</v>
      </c>
      <c r="I61" s="563">
        <f t="shared" si="47"/>
        <v>4</v>
      </c>
      <c r="J61" s="563">
        <f t="shared" si="47"/>
        <v>5</v>
      </c>
      <c r="K61" s="563">
        <f t="shared" si="47"/>
        <v>5</v>
      </c>
      <c r="L61" s="563">
        <f t="shared" si="47"/>
        <v>6</v>
      </c>
      <c r="M61" s="563">
        <f t="shared" si="47"/>
        <v>6</v>
      </c>
      <c r="N61" s="563">
        <f t="shared" si="47"/>
        <v>6</v>
      </c>
      <c r="O61" s="563">
        <f t="shared" si="47"/>
        <v>6</v>
      </c>
      <c r="P61" s="563">
        <f t="shared" si="47"/>
        <v>6</v>
      </c>
      <c r="Q61" s="563">
        <f t="shared" si="47"/>
        <v>6</v>
      </c>
      <c r="R61" s="563">
        <f t="shared" si="47"/>
        <v>7</v>
      </c>
      <c r="S61" s="563">
        <f t="shared" si="47"/>
        <v>7</v>
      </c>
      <c r="T61" s="563">
        <f t="shared" si="47"/>
        <v>7</v>
      </c>
      <c r="U61" s="563">
        <f t="shared" si="47"/>
        <v>7</v>
      </c>
      <c r="V61" s="563">
        <f t="shared" si="47"/>
        <v>7</v>
      </c>
      <c r="W61" s="563">
        <f t="shared" si="47"/>
        <v>7</v>
      </c>
      <c r="X61" s="563">
        <f t="shared" si="47"/>
        <v>7</v>
      </c>
      <c r="Y61" s="563">
        <f t="shared" si="47"/>
        <v>7</v>
      </c>
      <c r="Z61" s="563">
        <f t="shared" si="47"/>
        <v>6</v>
      </c>
      <c r="AA61" s="563">
        <f t="shared" si="47"/>
        <v>6</v>
      </c>
      <c r="AB61" s="564">
        <f t="shared" si="47"/>
        <v>6</v>
      </c>
      <c r="AC61" s="100">
        <f t="shared" si="47"/>
        <v>3</v>
      </c>
      <c r="AD61" s="563">
        <f t="shared" si="47"/>
        <v>4</v>
      </c>
      <c r="AE61" s="563">
        <f t="shared" si="47"/>
        <v>4</v>
      </c>
      <c r="AF61" s="563">
        <f t="shared" si="47"/>
        <v>5</v>
      </c>
      <c r="AG61" s="563">
        <f t="shared" si="47"/>
        <v>5</v>
      </c>
      <c r="AH61" s="563">
        <f t="shared" si="47"/>
        <v>6</v>
      </c>
      <c r="AI61" s="563">
        <f t="shared" si="47"/>
        <v>6</v>
      </c>
      <c r="AJ61" s="563">
        <f t="shared" si="47"/>
        <v>6</v>
      </c>
      <c r="AK61" s="563">
        <f t="shared" si="47"/>
        <v>6</v>
      </c>
      <c r="AL61" s="563">
        <f t="shared" si="47"/>
        <v>6</v>
      </c>
      <c r="AM61" s="563">
        <f t="shared" si="47"/>
        <v>7</v>
      </c>
      <c r="AN61" s="563">
        <f t="shared" si="47"/>
        <v>6</v>
      </c>
      <c r="AO61" s="563">
        <f t="shared" si="47"/>
        <v>6</v>
      </c>
      <c r="AP61" s="565">
        <f t="shared" si="47"/>
        <v>6</v>
      </c>
      <c r="AQ61" s="566">
        <f t="shared" si="47"/>
        <v>3</v>
      </c>
    </row>
    <row r="62" spans="1:43" s="21" customFormat="1" x14ac:dyDescent="0.2">
      <c r="A62" s="562" t="str">
        <f t="shared" si="46"/>
        <v xml:space="preserve">&gt; L2 Crewman </v>
      </c>
      <c r="B62" s="563">
        <f t="shared" ref="B62:AQ62" si="48">ROUNDUP(IF(B$13="Deploy",MAX((B$80/100)*$B95,$B95),(B$80/100)*$B95),0)</f>
        <v>6</v>
      </c>
      <c r="C62" s="563">
        <f t="shared" si="48"/>
        <v>6</v>
      </c>
      <c r="D62" s="563">
        <f t="shared" si="48"/>
        <v>6</v>
      </c>
      <c r="E62" s="563">
        <f t="shared" si="48"/>
        <v>6</v>
      </c>
      <c r="F62" s="563">
        <f t="shared" si="48"/>
        <v>6</v>
      </c>
      <c r="G62" s="563">
        <f t="shared" si="48"/>
        <v>6</v>
      </c>
      <c r="H62" s="563">
        <f t="shared" si="48"/>
        <v>8</v>
      </c>
      <c r="I62" s="563">
        <f t="shared" si="48"/>
        <v>9</v>
      </c>
      <c r="J62" s="563">
        <f t="shared" si="48"/>
        <v>10</v>
      </c>
      <c r="K62" s="563">
        <f t="shared" si="48"/>
        <v>11</v>
      </c>
      <c r="L62" s="563">
        <f t="shared" si="48"/>
        <v>12</v>
      </c>
      <c r="M62" s="563">
        <f t="shared" si="48"/>
        <v>14</v>
      </c>
      <c r="N62" s="563">
        <f t="shared" si="48"/>
        <v>14</v>
      </c>
      <c r="O62" s="563">
        <f t="shared" si="48"/>
        <v>14</v>
      </c>
      <c r="P62" s="563">
        <f t="shared" si="48"/>
        <v>14</v>
      </c>
      <c r="Q62" s="563">
        <f t="shared" si="48"/>
        <v>14</v>
      </c>
      <c r="R62" s="563">
        <f t="shared" si="48"/>
        <v>16</v>
      </c>
      <c r="S62" s="563">
        <f t="shared" si="48"/>
        <v>16</v>
      </c>
      <c r="T62" s="563">
        <f t="shared" si="48"/>
        <v>16</v>
      </c>
      <c r="U62" s="563">
        <f t="shared" si="48"/>
        <v>16</v>
      </c>
      <c r="V62" s="563">
        <f t="shared" si="48"/>
        <v>16</v>
      </c>
      <c r="W62" s="563">
        <f t="shared" si="48"/>
        <v>16</v>
      </c>
      <c r="X62" s="563">
        <f t="shared" si="48"/>
        <v>16</v>
      </c>
      <c r="Y62" s="563">
        <f t="shared" si="48"/>
        <v>15</v>
      </c>
      <c r="Z62" s="563">
        <f t="shared" si="48"/>
        <v>14</v>
      </c>
      <c r="AA62" s="563">
        <f t="shared" si="48"/>
        <v>14</v>
      </c>
      <c r="AB62" s="564">
        <f t="shared" si="48"/>
        <v>13</v>
      </c>
      <c r="AC62" s="100">
        <f t="shared" si="48"/>
        <v>6</v>
      </c>
      <c r="AD62" s="563">
        <f t="shared" si="48"/>
        <v>8</v>
      </c>
      <c r="AE62" s="563">
        <f t="shared" si="48"/>
        <v>9</v>
      </c>
      <c r="AF62" s="563">
        <f t="shared" si="48"/>
        <v>10</v>
      </c>
      <c r="AG62" s="563">
        <f t="shared" si="48"/>
        <v>11</v>
      </c>
      <c r="AH62" s="563">
        <f t="shared" si="48"/>
        <v>12</v>
      </c>
      <c r="AI62" s="563">
        <f t="shared" si="48"/>
        <v>14</v>
      </c>
      <c r="AJ62" s="563">
        <f t="shared" si="48"/>
        <v>14</v>
      </c>
      <c r="AK62" s="563">
        <f t="shared" si="48"/>
        <v>14</v>
      </c>
      <c r="AL62" s="563">
        <f t="shared" si="48"/>
        <v>14</v>
      </c>
      <c r="AM62" s="563">
        <f t="shared" si="48"/>
        <v>15</v>
      </c>
      <c r="AN62" s="563">
        <f t="shared" si="48"/>
        <v>14</v>
      </c>
      <c r="AO62" s="563">
        <f t="shared" si="48"/>
        <v>14</v>
      </c>
      <c r="AP62" s="565">
        <f t="shared" si="48"/>
        <v>13</v>
      </c>
      <c r="AQ62" s="566">
        <f t="shared" si="48"/>
        <v>6</v>
      </c>
    </row>
    <row r="63" spans="1:43" x14ac:dyDescent="0.2">
      <c r="A63" s="562" t="str">
        <f t="shared" si="46"/>
        <v xml:space="preserve">&gt; L1 Crewman </v>
      </c>
      <c r="B63" s="563">
        <f t="shared" ref="B63:AQ63" si="49">ROUNDUP(IF(B$13="Deploy",MAX((B$80/100)*$B96,$B96),(B$80/100)*$B96),0)</f>
        <v>6</v>
      </c>
      <c r="C63" s="563">
        <f t="shared" si="49"/>
        <v>6</v>
      </c>
      <c r="D63" s="563">
        <f t="shared" si="49"/>
        <v>6</v>
      </c>
      <c r="E63" s="563">
        <f t="shared" si="49"/>
        <v>6</v>
      </c>
      <c r="F63" s="563">
        <f t="shared" si="49"/>
        <v>6</v>
      </c>
      <c r="G63" s="563">
        <f t="shared" si="49"/>
        <v>6</v>
      </c>
      <c r="H63" s="563">
        <f t="shared" si="49"/>
        <v>8</v>
      </c>
      <c r="I63" s="563">
        <f t="shared" si="49"/>
        <v>9</v>
      </c>
      <c r="J63" s="563">
        <f t="shared" si="49"/>
        <v>10</v>
      </c>
      <c r="K63" s="563">
        <f t="shared" si="49"/>
        <v>11</v>
      </c>
      <c r="L63" s="563">
        <f t="shared" si="49"/>
        <v>12</v>
      </c>
      <c r="M63" s="563">
        <f t="shared" si="49"/>
        <v>14</v>
      </c>
      <c r="N63" s="563">
        <f t="shared" si="49"/>
        <v>14</v>
      </c>
      <c r="O63" s="563">
        <f t="shared" si="49"/>
        <v>14</v>
      </c>
      <c r="P63" s="563">
        <f t="shared" si="49"/>
        <v>14</v>
      </c>
      <c r="Q63" s="563">
        <f t="shared" si="49"/>
        <v>14</v>
      </c>
      <c r="R63" s="563">
        <f t="shared" si="49"/>
        <v>16</v>
      </c>
      <c r="S63" s="563">
        <f t="shared" si="49"/>
        <v>16</v>
      </c>
      <c r="T63" s="563">
        <f t="shared" si="49"/>
        <v>16</v>
      </c>
      <c r="U63" s="563">
        <f t="shared" si="49"/>
        <v>16</v>
      </c>
      <c r="V63" s="563">
        <f t="shared" si="49"/>
        <v>16</v>
      </c>
      <c r="W63" s="563">
        <f t="shared" si="49"/>
        <v>16</v>
      </c>
      <c r="X63" s="563">
        <f t="shared" si="49"/>
        <v>16</v>
      </c>
      <c r="Y63" s="563">
        <f t="shared" si="49"/>
        <v>15</v>
      </c>
      <c r="Z63" s="563">
        <f t="shared" si="49"/>
        <v>14</v>
      </c>
      <c r="AA63" s="563">
        <f t="shared" si="49"/>
        <v>14</v>
      </c>
      <c r="AB63" s="564">
        <f t="shared" si="49"/>
        <v>13</v>
      </c>
      <c r="AC63" s="100">
        <f t="shared" si="49"/>
        <v>6</v>
      </c>
      <c r="AD63" s="563">
        <f t="shared" si="49"/>
        <v>8</v>
      </c>
      <c r="AE63" s="563">
        <f t="shared" si="49"/>
        <v>9</v>
      </c>
      <c r="AF63" s="563">
        <f t="shared" si="49"/>
        <v>10</v>
      </c>
      <c r="AG63" s="563">
        <f t="shared" si="49"/>
        <v>11</v>
      </c>
      <c r="AH63" s="563">
        <f t="shared" si="49"/>
        <v>12</v>
      </c>
      <c r="AI63" s="563">
        <f t="shared" si="49"/>
        <v>14</v>
      </c>
      <c r="AJ63" s="563">
        <f t="shared" si="49"/>
        <v>14</v>
      </c>
      <c r="AK63" s="563">
        <f t="shared" si="49"/>
        <v>14</v>
      </c>
      <c r="AL63" s="563">
        <f t="shared" si="49"/>
        <v>14</v>
      </c>
      <c r="AM63" s="563">
        <f t="shared" si="49"/>
        <v>15</v>
      </c>
      <c r="AN63" s="563">
        <f t="shared" si="49"/>
        <v>14</v>
      </c>
      <c r="AO63" s="563">
        <f t="shared" si="49"/>
        <v>14</v>
      </c>
      <c r="AP63" s="565">
        <f t="shared" si="49"/>
        <v>13</v>
      </c>
      <c r="AQ63" s="566">
        <f t="shared" si="49"/>
        <v>6</v>
      </c>
    </row>
    <row r="64" spans="1:43" x14ac:dyDescent="0.2">
      <c r="A64" s="562" t="str">
        <f>A97</f>
        <v>DLQ Current HACS</v>
      </c>
      <c r="B64" s="563">
        <f t="shared" ref="B64:AQ64" si="50">ROUNDUP(IF(B$13="Deploy",MAX((B$80/100)*$B97,$B97),(B$80/100)*$B97),0)</f>
        <v>6</v>
      </c>
      <c r="C64" s="563">
        <f t="shared" si="50"/>
        <v>6</v>
      </c>
      <c r="D64" s="563">
        <f t="shared" si="50"/>
        <v>6</v>
      </c>
      <c r="E64" s="563">
        <f t="shared" si="50"/>
        <v>6</v>
      </c>
      <c r="F64" s="563">
        <f t="shared" si="50"/>
        <v>6</v>
      </c>
      <c r="G64" s="563">
        <f t="shared" si="50"/>
        <v>6</v>
      </c>
      <c r="H64" s="563">
        <f t="shared" si="50"/>
        <v>8</v>
      </c>
      <c r="I64" s="563">
        <f t="shared" si="50"/>
        <v>9</v>
      </c>
      <c r="J64" s="563">
        <f t="shared" si="50"/>
        <v>10</v>
      </c>
      <c r="K64" s="563">
        <f t="shared" si="50"/>
        <v>11</v>
      </c>
      <c r="L64" s="563">
        <f t="shared" si="50"/>
        <v>12</v>
      </c>
      <c r="M64" s="563">
        <f t="shared" si="50"/>
        <v>14</v>
      </c>
      <c r="N64" s="563">
        <f t="shared" si="50"/>
        <v>14</v>
      </c>
      <c r="O64" s="563">
        <f t="shared" si="50"/>
        <v>14</v>
      </c>
      <c r="P64" s="563">
        <f t="shared" si="50"/>
        <v>14</v>
      </c>
      <c r="Q64" s="563">
        <f t="shared" si="50"/>
        <v>14</v>
      </c>
      <c r="R64" s="563">
        <f t="shared" si="50"/>
        <v>16</v>
      </c>
      <c r="S64" s="563">
        <f t="shared" si="50"/>
        <v>16</v>
      </c>
      <c r="T64" s="563">
        <f t="shared" si="50"/>
        <v>16</v>
      </c>
      <c r="U64" s="563">
        <f t="shared" si="50"/>
        <v>16</v>
      </c>
      <c r="V64" s="563">
        <f t="shared" si="50"/>
        <v>16</v>
      </c>
      <c r="W64" s="563">
        <f t="shared" si="50"/>
        <v>16</v>
      </c>
      <c r="X64" s="563">
        <f t="shared" si="50"/>
        <v>16</v>
      </c>
      <c r="Y64" s="563">
        <f t="shared" si="50"/>
        <v>15</v>
      </c>
      <c r="Z64" s="563">
        <f t="shared" si="50"/>
        <v>14</v>
      </c>
      <c r="AA64" s="563">
        <f t="shared" si="50"/>
        <v>14</v>
      </c>
      <c r="AB64" s="564">
        <f t="shared" si="50"/>
        <v>13</v>
      </c>
      <c r="AC64" s="100">
        <f t="shared" si="50"/>
        <v>6</v>
      </c>
      <c r="AD64" s="563">
        <f t="shared" si="50"/>
        <v>8</v>
      </c>
      <c r="AE64" s="563">
        <f t="shared" si="50"/>
        <v>9</v>
      </c>
      <c r="AF64" s="563">
        <f t="shared" si="50"/>
        <v>10</v>
      </c>
      <c r="AG64" s="563">
        <f t="shared" si="50"/>
        <v>11</v>
      </c>
      <c r="AH64" s="563">
        <f t="shared" si="50"/>
        <v>12</v>
      </c>
      <c r="AI64" s="563">
        <f t="shared" si="50"/>
        <v>14</v>
      </c>
      <c r="AJ64" s="563">
        <f t="shared" si="50"/>
        <v>14</v>
      </c>
      <c r="AK64" s="563">
        <f t="shared" si="50"/>
        <v>14</v>
      </c>
      <c r="AL64" s="563">
        <f t="shared" si="50"/>
        <v>14</v>
      </c>
      <c r="AM64" s="563">
        <f t="shared" si="50"/>
        <v>15</v>
      </c>
      <c r="AN64" s="563">
        <f t="shared" si="50"/>
        <v>14</v>
      </c>
      <c r="AO64" s="563">
        <f t="shared" si="50"/>
        <v>14</v>
      </c>
      <c r="AP64" s="565">
        <f t="shared" si="50"/>
        <v>13</v>
      </c>
      <c r="AQ64" s="566">
        <f t="shared" si="50"/>
        <v>6</v>
      </c>
    </row>
    <row r="65" spans="1:43" ht="12.75" thickBot="1" x14ac:dyDescent="0.25">
      <c r="A65" s="562" t="str">
        <f>A98</f>
        <v>Required Skilled Crews</v>
      </c>
      <c r="B65" s="563">
        <f t="shared" ref="B65:AQ65" si="51">ROUNDUP(IF(B$13="Deploy",MAX((B$80/100)*$B98,$B98),(B$80/100)*$B98),0)</f>
        <v>6</v>
      </c>
      <c r="C65" s="563">
        <f t="shared" si="51"/>
        <v>6</v>
      </c>
      <c r="D65" s="563">
        <f t="shared" si="51"/>
        <v>6</v>
      </c>
      <c r="E65" s="563">
        <f t="shared" si="51"/>
        <v>6</v>
      </c>
      <c r="F65" s="563">
        <f t="shared" si="51"/>
        <v>6</v>
      </c>
      <c r="G65" s="563">
        <f t="shared" si="51"/>
        <v>6</v>
      </c>
      <c r="H65" s="563">
        <f t="shared" si="51"/>
        <v>8</v>
      </c>
      <c r="I65" s="563">
        <f t="shared" si="51"/>
        <v>9</v>
      </c>
      <c r="J65" s="563">
        <f t="shared" si="51"/>
        <v>10</v>
      </c>
      <c r="K65" s="563">
        <f t="shared" si="51"/>
        <v>11</v>
      </c>
      <c r="L65" s="563">
        <f t="shared" si="51"/>
        <v>12</v>
      </c>
      <c r="M65" s="563">
        <f t="shared" si="51"/>
        <v>14</v>
      </c>
      <c r="N65" s="563">
        <f t="shared" si="51"/>
        <v>14</v>
      </c>
      <c r="O65" s="563">
        <f t="shared" si="51"/>
        <v>14</v>
      </c>
      <c r="P65" s="563">
        <f t="shared" si="51"/>
        <v>14</v>
      </c>
      <c r="Q65" s="563">
        <f t="shared" si="51"/>
        <v>14</v>
      </c>
      <c r="R65" s="563">
        <f t="shared" si="51"/>
        <v>16</v>
      </c>
      <c r="S65" s="563">
        <f t="shared" si="51"/>
        <v>16</v>
      </c>
      <c r="T65" s="563">
        <f t="shared" si="51"/>
        <v>16</v>
      </c>
      <c r="U65" s="563">
        <f t="shared" si="51"/>
        <v>16</v>
      </c>
      <c r="V65" s="563">
        <f t="shared" si="51"/>
        <v>16</v>
      </c>
      <c r="W65" s="563">
        <f t="shared" si="51"/>
        <v>16</v>
      </c>
      <c r="X65" s="563">
        <f t="shared" si="51"/>
        <v>16</v>
      </c>
      <c r="Y65" s="563">
        <f t="shared" si="51"/>
        <v>15</v>
      </c>
      <c r="Z65" s="563">
        <f t="shared" si="51"/>
        <v>14</v>
      </c>
      <c r="AA65" s="563">
        <f t="shared" si="51"/>
        <v>14</v>
      </c>
      <c r="AB65" s="564">
        <f t="shared" si="51"/>
        <v>13</v>
      </c>
      <c r="AC65" s="362">
        <f t="shared" si="51"/>
        <v>6</v>
      </c>
      <c r="AD65" s="363">
        <f t="shared" si="51"/>
        <v>8</v>
      </c>
      <c r="AE65" s="363">
        <f t="shared" si="51"/>
        <v>9</v>
      </c>
      <c r="AF65" s="363">
        <f t="shared" si="51"/>
        <v>10</v>
      </c>
      <c r="AG65" s="363">
        <f t="shared" si="51"/>
        <v>11</v>
      </c>
      <c r="AH65" s="363">
        <f t="shared" si="51"/>
        <v>12</v>
      </c>
      <c r="AI65" s="363">
        <f t="shared" si="51"/>
        <v>14</v>
      </c>
      <c r="AJ65" s="363">
        <f t="shared" si="51"/>
        <v>14</v>
      </c>
      <c r="AK65" s="363">
        <f t="shared" si="51"/>
        <v>14</v>
      </c>
      <c r="AL65" s="363">
        <f t="shared" si="51"/>
        <v>14</v>
      </c>
      <c r="AM65" s="363">
        <f t="shared" si="51"/>
        <v>15</v>
      </c>
      <c r="AN65" s="363">
        <f t="shared" si="51"/>
        <v>14</v>
      </c>
      <c r="AO65" s="363">
        <f t="shared" si="51"/>
        <v>14</v>
      </c>
      <c r="AP65" s="364">
        <f t="shared" si="51"/>
        <v>13</v>
      </c>
      <c r="AQ65" s="566">
        <f t="shared" si="51"/>
        <v>6</v>
      </c>
    </row>
    <row r="66" spans="1:43" s="64" customFormat="1" ht="12.75" x14ac:dyDescent="0.2">
      <c r="A66" s="571" t="s">
        <v>156</v>
      </c>
      <c r="B66" s="572"/>
      <c r="C66" s="573"/>
      <c r="D66" s="573"/>
      <c r="E66" s="573"/>
      <c r="F66" s="573"/>
      <c r="G66" s="574"/>
      <c r="H66" s="574"/>
      <c r="I66" s="574"/>
      <c r="J66" s="574"/>
      <c r="K66" s="574"/>
      <c r="L66" s="574"/>
      <c r="M66" s="574"/>
      <c r="N66" s="574"/>
      <c r="O66" s="574"/>
      <c r="P66" s="575"/>
      <c r="Q66" s="575"/>
      <c r="R66" s="576"/>
      <c r="S66" s="576"/>
      <c r="T66" s="576"/>
      <c r="U66" s="577"/>
      <c r="V66" s="578"/>
      <c r="W66" s="578"/>
      <c r="X66" s="578"/>
      <c r="Y66" s="578"/>
      <c r="Z66" s="578"/>
      <c r="AA66" s="578"/>
      <c r="AB66" s="579"/>
    </row>
    <row r="67" spans="1:43" s="64" customFormat="1" x14ac:dyDescent="0.2">
      <c r="A67" s="515" t="s">
        <v>157</v>
      </c>
      <c r="B67" s="359">
        <v>0.95</v>
      </c>
      <c r="C67" s="359">
        <v>0.95</v>
      </c>
      <c r="D67" s="359">
        <v>0.95</v>
      </c>
      <c r="E67" s="359">
        <v>0.95</v>
      </c>
      <c r="F67" s="359">
        <v>0.95</v>
      </c>
      <c r="G67" s="359">
        <v>0.95</v>
      </c>
      <c r="H67" s="359">
        <v>0.95</v>
      </c>
      <c r="I67" s="359">
        <v>0.95</v>
      </c>
      <c r="J67" s="359">
        <v>0.95</v>
      </c>
      <c r="K67" s="359">
        <v>0.95</v>
      </c>
      <c r="L67" s="359">
        <v>0.95</v>
      </c>
      <c r="M67" s="359">
        <v>0.95</v>
      </c>
      <c r="N67" s="359">
        <v>0.95</v>
      </c>
      <c r="O67" s="359">
        <v>0.95</v>
      </c>
      <c r="P67" s="359">
        <v>0.95</v>
      </c>
      <c r="Q67" s="359">
        <v>0.95</v>
      </c>
      <c r="R67" s="359">
        <v>0.95</v>
      </c>
      <c r="S67" s="359">
        <v>0.95</v>
      </c>
      <c r="T67" s="359">
        <v>0.95</v>
      </c>
      <c r="U67" s="359">
        <v>0.95</v>
      </c>
      <c r="V67" s="359">
        <v>0.95</v>
      </c>
      <c r="W67" s="359">
        <v>0.95</v>
      </c>
      <c r="X67" s="359">
        <v>0.95</v>
      </c>
      <c r="Y67" s="359">
        <v>0.95</v>
      </c>
      <c r="Z67" s="359">
        <v>0.95</v>
      </c>
      <c r="AA67" s="359">
        <v>0.95</v>
      </c>
      <c r="AB67" s="360">
        <v>0.95</v>
      </c>
    </row>
    <row r="68" spans="1:43" s="64" customFormat="1" x14ac:dyDescent="0.2">
      <c r="A68" s="515" t="s">
        <v>158</v>
      </c>
      <c r="B68" s="580">
        <v>0.92</v>
      </c>
      <c r="C68" s="580">
        <v>0.92</v>
      </c>
      <c r="D68" s="580">
        <v>0.92</v>
      </c>
      <c r="E68" s="580">
        <v>0.92</v>
      </c>
      <c r="F68" s="580">
        <v>0.92</v>
      </c>
      <c r="G68" s="580">
        <v>0.92</v>
      </c>
      <c r="H68" s="580">
        <v>0.92</v>
      </c>
      <c r="I68" s="580">
        <v>0.92</v>
      </c>
      <c r="J68" s="580">
        <v>0.92</v>
      </c>
      <c r="K68" s="580">
        <v>0.92</v>
      </c>
      <c r="L68" s="580">
        <v>0.92</v>
      </c>
      <c r="M68" s="580">
        <v>0.92</v>
      </c>
      <c r="N68" s="580">
        <v>0.92</v>
      </c>
      <c r="O68" s="580">
        <v>0.92</v>
      </c>
      <c r="P68" s="580">
        <v>0.92</v>
      </c>
      <c r="Q68" s="580">
        <v>0.92</v>
      </c>
      <c r="R68" s="580">
        <v>0.92</v>
      </c>
      <c r="S68" s="580">
        <v>0.92</v>
      </c>
      <c r="T68" s="580">
        <v>0.92</v>
      </c>
      <c r="U68" s="580">
        <v>0.92</v>
      </c>
      <c r="V68" s="580">
        <v>0.92</v>
      </c>
      <c r="W68" s="580">
        <v>0.92</v>
      </c>
      <c r="X68" s="580">
        <v>0.92</v>
      </c>
      <c r="Y68" s="580">
        <v>0.92</v>
      </c>
      <c r="Z68" s="580">
        <v>0.92</v>
      </c>
      <c r="AA68" s="580">
        <v>0.92</v>
      </c>
      <c r="AB68" s="581">
        <v>0.92</v>
      </c>
    </row>
    <row r="69" spans="1:43" s="64" customFormat="1" x14ac:dyDescent="0.2">
      <c r="A69" s="515" t="s">
        <v>159</v>
      </c>
      <c r="B69" s="580">
        <v>0.75</v>
      </c>
      <c r="C69" s="580">
        <v>0.75</v>
      </c>
      <c r="D69" s="580">
        <v>0.75</v>
      </c>
      <c r="E69" s="580">
        <v>0.75</v>
      </c>
      <c r="F69" s="580">
        <v>0.75</v>
      </c>
      <c r="G69" s="580">
        <v>0.75</v>
      </c>
      <c r="H69" s="580">
        <v>0.75</v>
      </c>
      <c r="I69" s="580">
        <v>0.75</v>
      </c>
      <c r="J69" s="580">
        <v>0.75</v>
      </c>
      <c r="K69" s="580">
        <v>0.75</v>
      </c>
      <c r="L69" s="580">
        <v>0.75</v>
      </c>
      <c r="M69" s="580">
        <v>0.75</v>
      </c>
      <c r="N69" s="580">
        <v>0.75</v>
      </c>
      <c r="O69" s="580">
        <v>0.75</v>
      </c>
      <c r="P69" s="580">
        <v>0.75</v>
      </c>
      <c r="Q69" s="580">
        <v>0.75</v>
      </c>
      <c r="R69" s="580">
        <v>0.75</v>
      </c>
      <c r="S69" s="580">
        <v>0.75</v>
      </c>
      <c r="T69" s="580">
        <v>0.75</v>
      </c>
      <c r="U69" s="580">
        <v>0.75</v>
      </c>
      <c r="V69" s="580">
        <v>0.75</v>
      </c>
      <c r="W69" s="580">
        <v>0.75</v>
      </c>
      <c r="X69" s="580">
        <v>0.75</v>
      </c>
      <c r="Y69" s="580">
        <v>0.75</v>
      </c>
      <c r="Z69" s="580">
        <v>0.75</v>
      </c>
      <c r="AA69" s="580">
        <v>0.75</v>
      </c>
      <c r="AB69" s="581">
        <v>0.75</v>
      </c>
    </row>
    <row r="71" spans="1:43" s="60" customFormat="1" ht="12.75" x14ac:dyDescent="0.2">
      <c r="A71" s="53"/>
      <c r="B71" s="64"/>
      <c r="C71" s="64"/>
      <c r="D71" s="53"/>
      <c r="E71" s="53"/>
      <c r="F71" s="53"/>
      <c r="G71" s="53"/>
      <c r="H71" s="54"/>
      <c r="I71" s="55"/>
      <c r="J71" s="55"/>
      <c r="K71" s="56"/>
      <c r="L71" s="56"/>
      <c r="M71" s="57"/>
      <c r="N71" s="58"/>
      <c r="O71" s="58"/>
      <c r="P71" s="58"/>
      <c r="Q71" s="56"/>
      <c r="R71" s="59"/>
      <c r="S71" s="56"/>
      <c r="T71" s="53"/>
      <c r="V71" s="53"/>
      <c r="W71" s="53"/>
      <c r="X71" s="53"/>
      <c r="Y71" s="53"/>
      <c r="Z71" s="53"/>
      <c r="AA71" s="53"/>
      <c r="AB71" s="53"/>
    </row>
    <row r="72" spans="1:43" s="60" customFormat="1" ht="12.75" x14ac:dyDescent="0.2">
      <c r="A72" s="53"/>
      <c r="B72" s="64"/>
      <c r="C72" s="64"/>
      <c r="D72" s="53"/>
      <c r="E72" s="53"/>
      <c r="F72" s="53"/>
      <c r="G72" s="53"/>
      <c r="H72" s="276"/>
      <c r="I72" s="61"/>
      <c r="J72" s="55"/>
      <c r="K72" s="56"/>
      <c r="L72" s="56"/>
      <c r="M72" s="276"/>
      <c r="N72" s="61"/>
      <c r="O72" s="58"/>
      <c r="P72" s="58"/>
      <c r="Q72" s="56"/>
      <c r="R72" s="62"/>
      <c r="T72" s="63"/>
      <c r="V72" s="53"/>
      <c r="W72" s="53"/>
      <c r="X72" s="53"/>
      <c r="Y72" s="53"/>
      <c r="Z72" s="53"/>
      <c r="AA72" s="53"/>
      <c r="AB72" s="53"/>
    </row>
    <row r="73" spans="1:43" s="60" customFormat="1" ht="13.5" thickBot="1" x14ac:dyDescent="0.25">
      <c r="A73" s="53"/>
      <c r="B73" s="64"/>
      <c r="C73" s="53"/>
      <c r="D73" s="53"/>
      <c r="E73" s="53"/>
      <c r="F73" s="53"/>
      <c r="G73" s="53"/>
      <c r="H73" s="65"/>
      <c r="I73" s="61"/>
      <c r="J73" s="55"/>
      <c r="K73" s="56"/>
      <c r="L73" s="56"/>
      <c r="M73" s="65"/>
      <c r="N73" s="61"/>
      <c r="O73" s="55"/>
      <c r="P73" s="58"/>
      <c r="Q73" s="56"/>
      <c r="R73" s="62"/>
      <c r="T73" s="66"/>
      <c r="V73" s="53"/>
      <c r="W73" s="53"/>
      <c r="X73" s="53"/>
      <c r="Y73" s="53"/>
      <c r="Z73" s="53"/>
      <c r="AA73" s="53"/>
      <c r="AB73" s="53"/>
    </row>
    <row r="74" spans="1:43" ht="13.5" customHeight="1" thickBot="1" x14ac:dyDescent="0.25">
      <c r="A74" s="717" t="s">
        <v>160</v>
      </c>
      <c r="B74" s="718"/>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9"/>
    </row>
    <row r="75" spans="1:43" x14ac:dyDescent="0.2">
      <c r="A75" s="127" t="s">
        <v>161</v>
      </c>
      <c r="B75" s="128">
        <f t="shared" ref="B75:AB75" si="52">MIN(100,B77+$B$81)</f>
        <v>41.766866457937404</v>
      </c>
      <c r="C75" s="128">
        <f t="shared" si="52"/>
        <v>41.766866457937404</v>
      </c>
      <c r="D75" s="128">
        <f t="shared" si="52"/>
        <v>41.766866457937404</v>
      </c>
      <c r="E75" s="128">
        <f t="shared" si="52"/>
        <v>41.766866457937404</v>
      </c>
      <c r="F75" s="128">
        <f t="shared" si="52"/>
        <v>41.766866457937404</v>
      </c>
      <c r="G75" s="128">
        <f t="shared" si="52"/>
        <v>41.766866457937404</v>
      </c>
      <c r="H75" s="128">
        <f t="shared" si="52"/>
        <v>41.766866457937404</v>
      </c>
      <c r="I75" s="128">
        <f t="shared" si="52"/>
        <v>56.766866457937404</v>
      </c>
      <c r="J75" s="128">
        <f t="shared" si="52"/>
        <v>78.766866457937397</v>
      </c>
      <c r="K75" s="128">
        <f t="shared" si="52"/>
        <v>96.766866457937397</v>
      </c>
      <c r="L75" s="128">
        <f t="shared" si="52"/>
        <v>100</v>
      </c>
      <c r="M75" s="128">
        <f t="shared" si="52"/>
        <v>100</v>
      </c>
      <c r="N75" s="128">
        <f t="shared" si="52"/>
        <v>100</v>
      </c>
      <c r="O75" s="128">
        <f t="shared" si="52"/>
        <v>100</v>
      </c>
      <c r="P75" s="128">
        <f t="shared" si="52"/>
        <v>100</v>
      </c>
      <c r="Q75" s="128">
        <f t="shared" si="52"/>
        <v>100</v>
      </c>
      <c r="R75" s="128">
        <f t="shared" si="52"/>
        <v>100</v>
      </c>
      <c r="S75" s="128">
        <f t="shared" si="52"/>
        <v>100</v>
      </c>
      <c r="T75" s="128">
        <f t="shared" si="52"/>
        <v>100</v>
      </c>
      <c r="U75" s="128">
        <f t="shared" si="52"/>
        <v>100</v>
      </c>
      <c r="V75" s="128">
        <f t="shared" si="52"/>
        <v>100</v>
      </c>
      <c r="W75" s="128">
        <f t="shared" si="52"/>
        <v>100</v>
      </c>
      <c r="X75" s="128">
        <f t="shared" si="52"/>
        <v>100</v>
      </c>
      <c r="Y75" s="128">
        <f t="shared" si="52"/>
        <v>100</v>
      </c>
      <c r="Z75" s="128">
        <f t="shared" si="52"/>
        <v>100</v>
      </c>
      <c r="AA75" s="128">
        <f t="shared" si="52"/>
        <v>100</v>
      </c>
      <c r="AB75" s="129">
        <f t="shared" si="52"/>
        <v>100</v>
      </c>
      <c r="AC75" s="128">
        <f t="shared" ref="AC75:AL79" si="53">G75</f>
        <v>41.766866457937404</v>
      </c>
      <c r="AD75" s="128">
        <f t="shared" si="53"/>
        <v>41.766866457937404</v>
      </c>
      <c r="AE75" s="128">
        <f t="shared" si="53"/>
        <v>56.766866457937404</v>
      </c>
      <c r="AF75" s="128">
        <f t="shared" si="53"/>
        <v>78.766866457937397</v>
      </c>
      <c r="AG75" s="128">
        <f t="shared" si="53"/>
        <v>96.766866457937397</v>
      </c>
      <c r="AH75" s="128">
        <f t="shared" si="53"/>
        <v>100</v>
      </c>
      <c r="AI75" s="128">
        <f t="shared" si="53"/>
        <v>100</v>
      </c>
      <c r="AJ75" s="128">
        <f t="shared" si="53"/>
        <v>100</v>
      </c>
      <c r="AK75" s="128">
        <f t="shared" si="53"/>
        <v>100</v>
      </c>
      <c r="AL75" s="128">
        <f t="shared" si="53"/>
        <v>100</v>
      </c>
      <c r="AM75" s="128">
        <f t="shared" ref="AM75:AP79" si="54">Y75</f>
        <v>100</v>
      </c>
      <c r="AN75" s="128">
        <f t="shared" si="54"/>
        <v>100</v>
      </c>
      <c r="AO75" s="128">
        <f t="shared" si="54"/>
        <v>100</v>
      </c>
      <c r="AP75" s="129">
        <f t="shared" si="54"/>
        <v>100</v>
      </c>
      <c r="AQ75" s="130">
        <f>MIN(100,AQ77+$B$81)</f>
        <v>73.766866457937397</v>
      </c>
    </row>
    <row r="76" spans="1:43" x14ac:dyDescent="0.2">
      <c r="A76" s="22" t="s">
        <v>162</v>
      </c>
      <c r="B76" s="582">
        <f t="shared" ref="B76:AB76" si="55">MIN(100,B77+$B$82)</f>
        <v>23.383433228968702</v>
      </c>
      <c r="C76" s="582">
        <f t="shared" si="55"/>
        <v>23.383433228968702</v>
      </c>
      <c r="D76" s="582">
        <f t="shared" si="55"/>
        <v>23.383433228968702</v>
      </c>
      <c r="E76" s="582">
        <f t="shared" si="55"/>
        <v>23.383433228968702</v>
      </c>
      <c r="F76" s="582">
        <f t="shared" si="55"/>
        <v>23.383433228968702</v>
      </c>
      <c r="G76" s="582">
        <f t="shared" si="55"/>
        <v>23.383433228968702</v>
      </c>
      <c r="H76" s="582">
        <f t="shared" si="55"/>
        <v>23.383433228968702</v>
      </c>
      <c r="I76" s="582">
        <f t="shared" si="55"/>
        <v>38.383433228968698</v>
      </c>
      <c r="J76" s="582">
        <f t="shared" si="55"/>
        <v>60.383433228968698</v>
      </c>
      <c r="K76" s="582">
        <f t="shared" si="55"/>
        <v>78.383433228968698</v>
      </c>
      <c r="L76" s="582">
        <f t="shared" si="55"/>
        <v>88.383433228968698</v>
      </c>
      <c r="M76" s="582">
        <f t="shared" si="55"/>
        <v>88.383433228968698</v>
      </c>
      <c r="N76" s="582">
        <f t="shared" si="55"/>
        <v>98.383433228968698</v>
      </c>
      <c r="O76" s="582">
        <f t="shared" si="55"/>
        <v>98.383433228968698</v>
      </c>
      <c r="P76" s="582">
        <f t="shared" si="55"/>
        <v>98.383433228968698</v>
      </c>
      <c r="Q76" s="582">
        <f t="shared" si="55"/>
        <v>98.383433228968698</v>
      </c>
      <c r="R76" s="582">
        <f t="shared" si="55"/>
        <v>100</v>
      </c>
      <c r="S76" s="582">
        <f t="shared" si="55"/>
        <v>100</v>
      </c>
      <c r="T76" s="582">
        <f t="shared" si="55"/>
        <v>100</v>
      </c>
      <c r="U76" s="582">
        <f t="shared" si="55"/>
        <v>100</v>
      </c>
      <c r="V76" s="582">
        <f t="shared" si="55"/>
        <v>100</v>
      </c>
      <c r="W76" s="582">
        <f t="shared" si="55"/>
        <v>100</v>
      </c>
      <c r="X76" s="582">
        <f t="shared" si="55"/>
        <v>98.383433228968698</v>
      </c>
      <c r="Y76" s="582">
        <f t="shared" si="55"/>
        <v>98.383433228968698</v>
      </c>
      <c r="Z76" s="582">
        <f t="shared" si="55"/>
        <v>98.383433228968698</v>
      </c>
      <c r="AA76" s="582">
        <f t="shared" si="55"/>
        <v>98.383433228968698</v>
      </c>
      <c r="AB76" s="583">
        <f t="shared" si="55"/>
        <v>98.383433228968698</v>
      </c>
      <c r="AC76" s="582">
        <f t="shared" si="53"/>
        <v>23.383433228968702</v>
      </c>
      <c r="AD76" s="582">
        <f t="shared" si="53"/>
        <v>23.383433228968702</v>
      </c>
      <c r="AE76" s="582">
        <f t="shared" si="53"/>
        <v>38.383433228968698</v>
      </c>
      <c r="AF76" s="582">
        <f t="shared" si="53"/>
        <v>60.383433228968698</v>
      </c>
      <c r="AG76" s="582">
        <f t="shared" si="53"/>
        <v>78.383433228968698</v>
      </c>
      <c r="AH76" s="582">
        <f t="shared" si="53"/>
        <v>88.383433228968698</v>
      </c>
      <c r="AI76" s="582">
        <f t="shared" si="53"/>
        <v>88.383433228968698</v>
      </c>
      <c r="AJ76" s="582">
        <f t="shared" si="53"/>
        <v>98.383433228968698</v>
      </c>
      <c r="AK76" s="582">
        <f t="shared" si="53"/>
        <v>98.383433228968698</v>
      </c>
      <c r="AL76" s="582">
        <f t="shared" si="53"/>
        <v>98.383433228968698</v>
      </c>
      <c r="AM76" s="582">
        <f t="shared" si="54"/>
        <v>98.383433228968698</v>
      </c>
      <c r="AN76" s="582">
        <f t="shared" si="54"/>
        <v>98.383433228968698</v>
      </c>
      <c r="AO76" s="582">
        <f t="shared" si="54"/>
        <v>98.383433228968698</v>
      </c>
      <c r="AP76" s="583">
        <f t="shared" si="54"/>
        <v>98.383433228968698</v>
      </c>
      <c r="AQ76" s="124">
        <f>MIN(100,AQ77+$B$82)</f>
        <v>55.383433228968698</v>
      </c>
    </row>
    <row r="77" spans="1:43" x14ac:dyDescent="0.2">
      <c r="A77" s="22" t="s">
        <v>163</v>
      </c>
      <c r="B77" s="584">
        <v>5</v>
      </c>
      <c r="C77" s="584">
        <v>5</v>
      </c>
      <c r="D77" s="584">
        <v>5</v>
      </c>
      <c r="E77" s="584">
        <v>5</v>
      </c>
      <c r="F77" s="584">
        <v>5</v>
      </c>
      <c r="G77" s="584">
        <v>5</v>
      </c>
      <c r="H77" s="584">
        <v>5</v>
      </c>
      <c r="I77" s="584">
        <v>20</v>
      </c>
      <c r="J77" s="584">
        <v>42</v>
      </c>
      <c r="K77" s="584">
        <v>60</v>
      </c>
      <c r="L77" s="584">
        <v>70</v>
      </c>
      <c r="M77" s="584">
        <v>70</v>
      </c>
      <c r="N77" s="584">
        <v>80</v>
      </c>
      <c r="O77" s="584">
        <v>80</v>
      </c>
      <c r="P77" s="584">
        <v>80</v>
      </c>
      <c r="Q77" s="584">
        <v>80</v>
      </c>
      <c r="R77" s="584">
        <v>100</v>
      </c>
      <c r="S77" s="584">
        <v>100</v>
      </c>
      <c r="T77" s="584">
        <v>100</v>
      </c>
      <c r="U77" s="584">
        <v>100</v>
      </c>
      <c r="V77" s="584">
        <v>100</v>
      </c>
      <c r="W77" s="584">
        <v>100</v>
      </c>
      <c r="X77" s="584">
        <v>80</v>
      </c>
      <c r="Y77" s="584">
        <v>80</v>
      </c>
      <c r="Z77" s="584">
        <v>80</v>
      </c>
      <c r="AA77" s="584">
        <v>80</v>
      </c>
      <c r="AB77" s="585">
        <v>80</v>
      </c>
      <c r="AC77" s="584">
        <f t="shared" si="53"/>
        <v>5</v>
      </c>
      <c r="AD77" s="584">
        <f t="shared" si="53"/>
        <v>5</v>
      </c>
      <c r="AE77" s="584">
        <f t="shared" si="53"/>
        <v>20</v>
      </c>
      <c r="AF77" s="584">
        <f t="shared" si="53"/>
        <v>42</v>
      </c>
      <c r="AG77" s="584">
        <f t="shared" si="53"/>
        <v>60</v>
      </c>
      <c r="AH77" s="584">
        <f t="shared" si="53"/>
        <v>70</v>
      </c>
      <c r="AI77" s="584">
        <f t="shared" si="53"/>
        <v>70</v>
      </c>
      <c r="AJ77" s="584">
        <f t="shared" si="53"/>
        <v>80</v>
      </c>
      <c r="AK77" s="584">
        <f t="shared" si="53"/>
        <v>80</v>
      </c>
      <c r="AL77" s="584">
        <f t="shared" si="53"/>
        <v>80</v>
      </c>
      <c r="AM77" s="584">
        <f t="shared" si="54"/>
        <v>80</v>
      </c>
      <c r="AN77" s="584">
        <f t="shared" si="54"/>
        <v>80</v>
      </c>
      <c r="AO77" s="584">
        <f t="shared" si="54"/>
        <v>80</v>
      </c>
      <c r="AP77" s="585">
        <f t="shared" si="54"/>
        <v>80</v>
      </c>
      <c r="AQ77" s="125">
        <v>37</v>
      </c>
    </row>
    <row r="78" spans="1:43" x14ac:dyDescent="0.2">
      <c r="A78" s="22" t="s">
        <v>164</v>
      </c>
      <c r="B78" s="582">
        <f t="shared" ref="B78:AB78" si="56">MIN(80,IF(B13="Deploy",80,MAX(0,B77-$B$82)))</f>
        <v>0</v>
      </c>
      <c r="C78" s="582">
        <f t="shared" si="56"/>
        <v>0</v>
      </c>
      <c r="D78" s="582">
        <f t="shared" si="56"/>
        <v>0</v>
      </c>
      <c r="E78" s="582">
        <f t="shared" si="56"/>
        <v>0</v>
      </c>
      <c r="F78" s="582">
        <f t="shared" si="56"/>
        <v>0</v>
      </c>
      <c r="G78" s="582">
        <f t="shared" si="56"/>
        <v>0</v>
      </c>
      <c r="H78" s="582">
        <f t="shared" si="56"/>
        <v>0</v>
      </c>
      <c r="I78" s="582">
        <f t="shared" si="56"/>
        <v>1.6165667710312981</v>
      </c>
      <c r="J78" s="582">
        <f t="shared" si="56"/>
        <v>23.616566771031298</v>
      </c>
      <c r="K78" s="582">
        <f t="shared" si="56"/>
        <v>41.616566771031302</v>
      </c>
      <c r="L78" s="582">
        <f t="shared" si="56"/>
        <v>51.616566771031302</v>
      </c>
      <c r="M78" s="582">
        <f t="shared" si="56"/>
        <v>51.616566771031302</v>
      </c>
      <c r="N78" s="582">
        <f t="shared" si="56"/>
        <v>61.616566771031302</v>
      </c>
      <c r="O78" s="582">
        <f t="shared" si="56"/>
        <v>61.616566771031302</v>
      </c>
      <c r="P78" s="582">
        <f t="shared" si="56"/>
        <v>61.616566771031302</v>
      </c>
      <c r="Q78" s="582">
        <f t="shared" si="56"/>
        <v>61.616566771031302</v>
      </c>
      <c r="R78" s="582">
        <f t="shared" si="56"/>
        <v>80</v>
      </c>
      <c r="S78" s="582">
        <f t="shared" si="56"/>
        <v>80</v>
      </c>
      <c r="T78" s="582">
        <f t="shared" si="56"/>
        <v>80</v>
      </c>
      <c r="U78" s="582">
        <f t="shared" si="56"/>
        <v>80</v>
      </c>
      <c r="V78" s="582">
        <f t="shared" si="56"/>
        <v>80</v>
      </c>
      <c r="W78" s="582">
        <f t="shared" si="56"/>
        <v>80</v>
      </c>
      <c r="X78" s="582">
        <f t="shared" si="56"/>
        <v>61.616566771031302</v>
      </c>
      <c r="Y78" s="582">
        <f t="shared" si="56"/>
        <v>61.616566771031302</v>
      </c>
      <c r="Z78" s="582">
        <f t="shared" si="56"/>
        <v>61.616566771031302</v>
      </c>
      <c r="AA78" s="582">
        <f t="shared" si="56"/>
        <v>61.616566771031302</v>
      </c>
      <c r="AB78" s="583">
        <f t="shared" si="56"/>
        <v>61.616566771031302</v>
      </c>
      <c r="AC78" s="582">
        <f t="shared" si="53"/>
        <v>0</v>
      </c>
      <c r="AD78" s="582">
        <f t="shared" si="53"/>
        <v>0</v>
      </c>
      <c r="AE78" s="582">
        <f t="shared" si="53"/>
        <v>1.6165667710312981</v>
      </c>
      <c r="AF78" s="582">
        <f t="shared" si="53"/>
        <v>23.616566771031298</v>
      </c>
      <c r="AG78" s="582">
        <f t="shared" si="53"/>
        <v>41.616566771031302</v>
      </c>
      <c r="AH78" s="582">
        <f t="shared" si="53"/>
        <v>51.616566771031302</v>
      </c>
      <c r="AI78" s="582">
        <f t="shared" si="53"/>
        <v>51.616566771031302</v>
      </c>
      <c r="AJ78" s="582">
        <f t="shared" si="53"/>
        <v>61.616566771031302</v>
      </c>
      <c r="AK78" s="582">
        <f t="shared" si="53"/>
        <v>61.616566771031302</v>
      </c>
      <c r="AL78" s="582">
        <f t="shared" si="53"/>
        <v>61.616566771031302</v>
      </c>
      <c r="AM78" s="582">
        <f t="shared" si="54"/>
        <v>61.616566771031302</v>
      </c>
      <c r="AN78" s="582">
        <f t="shared" si="54"/>
        <v>61.616566771031302</v>
      </c>
      <c r="AO78" s="582">
        <f t="shared" si="54"/>
        <v>61.616566771031302</v>
      </c>
      <c r="AP78" s="583">
        <f t="shared" si="54"/>
        <v>61.616566771031302</v>
      </c>
      <c r="AQ78" s="124">
        <f>MIN(80,IF(AQ3="Deploy",80,MAX(0,AQ77-$B$82)))</f>
        <v>18.616566771031298</v>
      </c>
    </row>
    <row r="79" spans="1:43" ht="12.75" thickBot="1" x14ac:dyDescent="0.25">
      <c r="A79" s="23" t="s">
        <v>165</v>
      </c>
      <c r="B79" s="24">
        <f t="shared" ref="B79:AB79" si="57">MIN(60,IF(B14="Deploy",60,MAX(0,B77-$B$81)))</f>
        <v>0</v>
      </c>
      <c r="C79" s="24">
        <f t="shared" si="57"/>
        <v>0</v>
      </c>
      <c r="D79" s="24">
        <f t="shared" si="57"/>
        <v>0</v>
      </c>
      <c r="E79" s="24">
        <f t="shared" si="57"/>
        <v>0</v>
      </c>
      <c r="F79" s="24">
        <f t="shared" si="57"/>
        <v>0</v>
      </c>
      <c r="G79" s="24">
        <f t="shared" si="57"/>
        <v>0</v>
      </c>
      <c r="H79" s="24">
        <f t="shared" si="57"/>
        <v>0</v>
      </c>
      <c r="I79" s="24">
        <f t="shared" si="57"/>
        <v>0</v>
      </c>
      <c r="J79" s="24">
        <f t="shared" si="57"/>
        <v>5.2331335420625962</v>
      </c>
      <c r="K79" s="24">
        <f t="shared" si="57"/>
        <v>23.233133542062596</v>
      </c>
      <c r="L79" s="24">
        <f t="shared" si="57"/>
        <v>33.233133542062596</v>
      </c>
      <c r="M79" s="24">
        <f t="shared" si="57"/>
        <v>33.233133542062596</v>
      </c>
      <c r="N79" s="24">
        <f t="shared" si="57"/>
        <v>43.233133542062596</v>
      </c>
      <c r="O79" s="24">
        <f t="shared" si="57"/>
        <v>43.233133542062596</v>
      </c>
      <c r="P79" s="24">
        <f t="shared" si="57"/>
        <v>43.233133542062596</v>
      </c>
      <c r="Q79" s="24">
        <f t="shared" si="57"/>
        <v>43.233133542062596</v>
      </c>
      <c r="R79" s="24">
        <f t="shared" si="57"/>
        <v>60</v>
      </c>
      <c r="S79" s="24">
        <f t="shared" si="57"/>
        <v>60</v>
      </c>
      <c r="T79" s="24">
        <f t="shared" si="57"/>
        <v>60</v>
      </c>
      <c r="U79" s="24">
        <f t="shared" si="57"/>
        <v>60</v>
      </c>
      <c r="V79" s="24">
        <f t="shared" si="57"/>
        <v>60</v>
      </c>
      <c r="W79" s="24">
        <f t="shared" si="57"/>
        <v>60</v>
      </c>
      <c r="X79" s="24">
        <f t="shared" si="57"/>
        <v>43.233133542062596</v>
      </c>
      <c r="Y79" s="24">
        <f t="shared" si="57"/>
        <v>43.233133542062596</v>
      </c>
      <c r="Z79" s="24">
        <f t="shared" si="57"/>
        <v>43.233133542062596</v>
      </c>
      <c r="AA79" s="24">
        <f t="shared" si="57"/>
        <v>43.233133542062596</v>
      </c>
      <c r="AB79" s="25">
        <f t="shared" si="57"/>
        <v>43.233133542062596</v>
      </c>
      <c r="AC79" s="24">
        <f t="shared" si="53"/>
        <v>0</v>
      </c>
      <c r="AD79" s="24">
        <f t="shared" si="53"/>
        <v>0</v>
      </c>
      <c r="AE79" s="24">
        <f t="shared" si="53"/>
        <v>0</v>
      </c>
      <c r="AF79" s="24">
        <f t="shared" si="53"/>
        <v>5.2331335420625962</v>
      </c>
      <c r="AG79" s="24">
        <f t="shared" si="53"/>
        <v>23.233133542062596</v>
      </c>
      <c r="AH79" s="24">
        <f t="shared" si="53"/>
        <v>33.233133542062596</v>
      </c>
      <c r="AI79" s="24">
        <f t="shared" si="53"/>
        <v>33.233133542062596</v>
      </c>
      <c r="AJ79" s="24">
        <f t="shared" si="53"/>
        <v>43.233133542062596</v>
      </c>
      <c r="AK79" s="24">
        <f t="shared" si="53"/>
        <v>43.233133542062596</v>
      </c>
      <c r="AL79" s="24">
        <f t="shared" si="53"/>
        <v>43.233133542062596</v>
      </c>
      <c r="AM79" s="24">
        <f t="shared" si="54"/>
        <v>43.233133542062596</v>
      </c>
      <c r="AN79" s="24">
        <f t="shared" si="54"/>
        <v>43.233133542062596</v>
      </c>
      <c r="AO79" s="24">
        <f t="shared" si="54"/>
        <v>43.233133542062596</v>
      </c>
      <c r="AP79" s="25">
        <f t="shared" si="54"/>
        <v>43.233133542062596</v>
      </c>
      <c r="AQ79" s="126">
        <f>MIN(60,IF(AQ4="Deploy",60,MAX(0,AQ77-$B$81)))</f>
        <v>0.23313354206259618</v>
      </c>
    </row>
    <row r="80" spans="1:43" ht="12.75" thickBot="1" x14ac:dyDescent="0.25">
      <c r="A80" s="264" t="s">
        <v>166</v>
      </c>
      <c r="B80" s="265">
        <v>37</v>
      </c>
      <c r="C80" s="265">
        <v>37</v>
      </c>
      <c r="D80" s="265">
        <v>37</v>
      </c>
      <c r="E80" s="265">
        <v>37</v>
      </c>
      <c r="F80" s="265">
        <v>37</v>
      </c>
      <c r="G80" s="265">
        <v>37</v>
      </c>
      <c r="H80" s="265">
        <v>46</v>
      </c>
      <c r="I80" s="265">
        <v>54</v>
      </c>
      <c r="J80" s="265">
        <v>61</v>
      </c>
      <c r="K80" s="265">
        <v>63</v>
      </c>
      <c r="L80" s="265">
        <v>75</v>
      </c>
      <c r="M80" s="265">
        <v>85</v>
      </c>
      <c r="N80" s="265">
        <v>85</v>
      </c>
      <c r="O80" s="265">
        <v>85</v>
      </c>
      <c r="P80" s="265">
        <v>85</v>
      </c>
      <c r="Q80" s="265">
        <v>85</v>
      </c>
      <c r="R80" s="265">
        <v>100</v>
      </c>
      <c r="S80" s="265">
        <v>100</v>
      </c>
      <c r="T80" s="265">
        <v>100</v>
      </c>
      <c r="U80" s="265">
        <v>100</v>
      </c>
      <c r="V80" s="265">
        <v>100</v>
      </c>
      <c r="W80" s="265">
        <v>100</v>
      </c>
      <c r="X80" s="265">
        <v>94</v>
      </c>
      <c r="Y80" s="265">
        <v>91</v>
      </c>
      <c r="Z80" s="265">
        <v>85</v>
      </c>
      <c r="AA80" s="265">
        <v>84</v>
      </c>
      <c r="AB80" s="266">
        <v>81</v>
      </c>
      <c r="AC80" s="265">
        <v>37</v>
      </c>
      <c r="AD80" s="265">
        <v>46</v>
      </c>
      <c r="AE80" s="265">
        <v>54</v>
      </c>
      <c r="AF80" s="265">
        <v>61</v>
      </c>
      <c r="AG80" s="265">
        <v>63</v>
      </c>
      <c r="AH80" s="265">
        <v>75</v>
      </c>
      <c r="AI80" s="265">
        <v>85</v>
      </c>
      <c r="AJ80" s="265">
        <v>85</v>
      </c>
      <c r="AK80" s="265">
        <v>85</v>
      </c>
      <c r="AL80" s="265">
        <v>85</v>
      </c>
      <c r="AM80" s="265">
        <v>91</v>
      </c>
      <c r="AN80" s="265">
        <v>85</v>
      </c>
      <c r="AO80" s="265">
        <v>84</v>
      </c>
      <c r="AP80" s="266">
        <v>81</v>
      </c>
      <c r="AQ80" s="267">
        <v>37</v>
      </c>
    </row>
    <row r="81" spans="1:28" x14ac:dyDescent="0.2">
      <c r="A81" s="80" t="s">
        <v>167</v>
      </c>
      <c r="B81" s="81">
        <f t="array" ref="B81">SQRT(SUM(POWER(AVERAGE(B77:AB77)-(B77:AB77),2))/COUNT(B77:AB77))*1</f>
        <v>36.766866457937404</v>
      </c>
    </row>
    <row r="82" spans="1:28" ht="12.75" thickBot="1" x14ac:dyDescent="0.25">
      <c r="A82" s="82" t="s">
        <v>168</v>
      </c>
      <c r="B82" s="83">
        <f>B81/2</f>
        <v>18.383433228968702</v>
      </c>
    </row>
    <row r="83" spans="1:28" ht="12.75" thickBo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s="52" customFormat="1" ht="12.75" thickBot="1" x14ac:dyDescent="0.25">
      <c r="A84" s="745" t="s">
        <v>169</v>
      </c>
      <c r="B84" s="746"/>
      <c r="D84" s="67"/>
      <c r="E84" s="67"/>
      <c r="F84" s="67"/>
      <c r="G84" s="67"/>
      <c r="H84" s="67"/>
    </row>
    <row r="85" spans="1:28" s="52" customFormat="1" ht="12.75" thickBot="1" x14ac:dyDescent="0.25">
      <c r="A85" s="747" t="s">
        <v>170</v>
      </c>
      <c r="B85" s="748"/>
      <c r="D85" s="67"/>
      <c r="E85" s="67"/>
      <c r="F85" s="67"/>
      <c r="G85" s="67"/>
      <c r="H85" s="67"/>
    </row>
    <row r="86" spans="1:28" ht="12.75" thickTop="1" x14ac:dyDescent="0.2">
      <c r="A86" s="26" t="s">
        <v>171</v>
      </c>
      <c r="B86" s="27">
        <v>40</v>
      </c>
      <c r="D86" s="28"/>
    </row>
    <row r="87" spans="1:28" x14ac:dyDescent="0.2">
      <c r="A87" s="31" t="s">
        <v>172</v>
      </c>
      <c r="B87" s="586">
        <v>40</v>
      </c>
      <c r="D87" s="28"/>
    </row>
    <row r="88" spans="1:28" x14ac:dyDescent="0.2">
      <c r="A88" s="26" t="s">
        <v>173</v>
      </c>
      <c r="B88" s="27">
        <v>20</v>
      </c>
      <c r="D88" s="28"/>
      <c r="H88" s="30"/>
    </row>
    <row r="89" spans="1:28" x14ac:dyDescent="0.2">
      <c r="A89" s="31" t="s">
        <v>174</v>
      </c>
      <c r="B89" s="586">
        <v>20</v>
      </c>
      <c r="D89" s="28"/>
    </row>
    <row r="90" spans="1:28" x14ac:dyDescent="0.2">
      <c r="A90" s="31" t="s">
        <v>175</v>
      </c>
      <c r="B90" s="587">
        <v>7</v>
      </c>
      <c r="D90" s="33"/>
      <c r="F90" s="29"/>
      <c r="G90" s="30"/>
      <c r="H90" s="30"/>
    </row>
    <row r="91" spans="1:28" x14ac:dyDescent="0.2">
      <c r="A91" s="31" t="s">
        <v>176</v>
      </c>
      <c r="B91" s="587">
        <v>16</v>
      </c>
      <c r="D91" s="33"/>
      <c r="F91" s="32"/>
      <c r="G91" s="30"/>
      <c r="H91" s="30"/>
    </row>
    <row r="92" spans="1:28" x14ac:dyDescent="0.2">
      <c r="A92" s="31" t="s">
        <v>177</v>
      </c>
      <c r="B92" s="587">
        <v>32</v>
      </c>
      <c r="D92" s="33"/>
      <c r="F92" s="28"/>
      <c r="G92" s="30"/>
      <c r="H92" s="30"/>
    </row>
    <row r="93" spans="1:28" x14ac:dyDescent="0.2">
      <c r="A93" s="31" t="s">
        <v>178</v>
      </c>
      <c r="B93" s="586">
        <v>32</v>
      </c>
      <c r="D93" s="33"/>
      <c r="F93" s="28"/>
      <c r="G93" s="30"/>
    </row>
    <row r="94" spans="1:28" x14ac:dyDescent="0.2">
      <c r="A94" s="31" t="s">
        <v>179</v>
      </c>
      <c r="B94" s="587">
        <v>7</v>
      </c>
      <c r="D94" s="33"/>
      <c r="F94" s="28"/>
      <c r="G94" s="30"/>
    </row>
    <row r="95" spans="1:28" x14ac:dyDescent="0.2">
      <c r="A95" s="31" t="s">
        <v>180</v>
      </c>
      <c r="B95" s="588">
        <v>16</v>
      </c>
      <c r="D95" s="33"/>
      <c r="F95" s="28"/>
      <c r="G95" s="30"/>
      <c r="H95" s="30"/>
    </row>
    <row r="96" spans="1:28" x14ac:dyDescent="0.2">
      <c r="A96" s="31" t="s">
        <v>181</v>
      </c>
      <c r="B96" s="588">
        <v>16</v>
      </c>
      <c r="D96" s="33"/>
      <c r="F96" s="28"/>
      <c r="G96" s="30"/>
    </row>
    <row r="97" spans="1:50" s="52" customFormat="1" x14ac:dyDescent="0.2">
      <c r="A97" s="31" t="s">
        <v>182</v>
      </c>
      <c r="B97" s="589">
        <v>16</v>
      </c>
      <c r="D97" s="33"/>
      <c r="F97" s="28"/>
      <c r="G97" s="30"/>
      <c r="H97" s="30"/>
      <c r="I97" s="15"/>
      <c r="AB97" s="68"/>
    </row>
    <row r="98" spans="1:50" ht="12.75" thickBot="1" x14ac:dyDescent="0.25">
      <c r="A98" s="34" t="s">
        <v>183</v>
      </c>
      <c r="B98" s="35">
        <v>16</v>
      </c>
    </row>
    <row r="99" spans="1:50" ht="12.75" thickBot="1" x14ac:dyDescent="0.25"/>
    <row r="100" spans="1:50" ht="12.75" thickBot="1" x14ac:dyDescent="0.25">
      <c r="A100" s="745" t="s">
        <v>184</v>
      </c>
      <c r="B100" s="746"/>
      <c r="AW100" s="52"/>
      <c r="AX100" s="52"/>
    </row>
    <row r="101" spans="1:50" x14ac:dyDescent="0.2">
      <c r="A101" s="110" t="s">
        <v>185</v>
      </c>
      <c r="B101" s="111" t="s">
        <v>186</v>
      </c>
      <c r="C101" s="111" t="s">
        <v>186</v>
      </c>
      <c r="D101" s="111" t="s">
        <v>186</v>
      </c>
      <c r="E101" s="111"/>
      <c r="F101" s="111" t="s">
        <v>186</v>
      </c>
      <c r="G101" s="111" t="s">
        <v>186</v>
      </c>
      <c r="H101" s="111" t="s">
        <v>186</v>
      </c>
      <c r="I101" s="111" t="s">
        <v>186</v>
      </c>
      <c r="J101" s="111"/>
      <c r="K101" s="111"/>
      <c r="L101" s="111"/>
      <c r="M101" s="111"/>
      <c r="N101" s="111" t="s">
        <v>186</v>
      </c>
      <c r="O101" s="111" t="s">
        <v>186</v>
      </c>
      <c r="P101" s="111"/>
      <c r="Q101" s="111"/>
      <c r="R101" s="111"/>
      <c r="S101" s="111"/>
      <c r="T101" s="111"/>
      <c r="U101" s="111"/>
      <c r="V101" s="111"/>
      <c r="W101" s="111"/>
      <c r="X101" s="111"/>
      <c r="Y101" s="111" t="s">
        <v>186</v>
      </c>
      <c r="Z101" s="111" t="s">
        <v>186</v>
      </c>
      <c r="AA101" s="111" t="s">
        <v>186</v>
      </c>
      <c r="AB101" s="111" t="s">
        <v>186</v>
      </c>
      <c r="AC101" s="112"/>
      <c r="AD101" s="112"/>
      <c r="AE101" s="112"/>
      <c r="AF101" s="112"/>
      <c r="AG101" s="112"/>
      <c r="AH101" s="112"/>
      <c r="AI101" s="112"/>
      <c r="AJ101" s="112"/>
      <c r="AK101" s="112"/>
      <c r="AL101" s="112"/>
      <c r="AM101" s="112"/>
      <c r="AN101" s="112"/>
      <c r="AO101" s="112"/>
      <c r="AP101" s="112"/>
      <c r="AQ101" s="113" t="s">
        <v>186</v>
      </c>
    </row>
    <row r="102" spans="1:50" ht="12.75" thickBot="1" x14ac:dyDescent="0.25">
      <c r="A102" s="82" t="s">
        <v>187</v>
      </c>
      <c r="B102" s="114"/>
      <c r="C102" s="114"/>
      <c r="D102" s="114"/>
      <c r="E102" s="114"/>
      <c r="F102" s="114"/>
      <c r="G102" s="114"/>
      <c r="H102" s="114"/>
      <c r="I102" s="114"/>
      <c r="J102" s="114"/>
      <c r="K102" s="114"/>
      <c r="L102" s="114"/>
      <c r="M102" s="114"/>
      <c r="N102" s="114"/>
      <c r="O102" s="114"/>
      <c r="P102" s="114"/>
      <c r="Q102" s="114"/>
      <c r="R102" s="114" t="s">
        <v>186</v>
      </c>
      <c r="S102" s="114" t="s">
        <v>186</v>
      </c>
      <c r="T102" s="114" t="s">
        <v>186</v>
      </c>
      <c r="U102" s="114" t="s">
        <v>186</v>
      </c>
      <c r="V102" s="114" t="s">
        <v>186</v>
      </c>
      <c r="W102" s="114" t="s">
        <v>186</v>
      </c>
      <c r="X102" s="114"/>
      <c r="Y102" s="114"/>
      <c r="Z102" s="114"/>
      <c r="AA102" s="114"/>
      <c r="AB102" s="114"/>
      <c r="AC102" s="115" t="s">
        <v>186</v>
      </c>
      <c r="AD102" s="115" t="s">
        <v>186</v>
      </c>
      <c r="AE102" s="115" t="s">
        <v>186</v>
      </c>
      <c r="AF102" s="115" t="s">
        <v>186</v>
      </c>
      <c r="AG102" s="115" t="s">
        <v>186</v>
      </c>
      <c r="AH102" s="115" t="s">
        <v>186</v>
      </c>
      <c r="AI102" s="115" t="s">
        <v>186</v>
      </c>
      <c r="AJ102" s="115" t="s">
        <v>186</v>
      </c>
      <c r="AK102" s="115" t="s">
        <v>186</v>
      </c>
      <c r="AL102" s="115" t="s">
        <v>186</v>
      </c>
      <c r="AM102" s="115" t="s">
        <v>186</v>
      </c>
      <c r="AN102" s="115" t="s">
        <v>186</v>
      </c>
      <c r="AO102" s="115" t="s">
        <v>186</v>
      </c>
      <c r="AP102" s="115" t="s">
        <v>186</v>
      </c>
      <c r="AQ102" s="36"/>
    </row>
    <row r="103" spans="1:50" ht="12.75" thickBot="1" x14ac:dyDescent="0.25"/>
    <row r="104" spans="1:50" ht="13.5" thickBot="1" x14ac:dyDescent="0.25">
      <c r="A104" s="377" t="s">
        <v>188</v>
      </c>
      <c r="B104" s="736" t="s">
        <v>189</v>
      </c>
      <c r="C104" s="737"/>
      <c r="D104" s="738" t="s">
        <v>190</v>
      </c>
      <c r="E104" s="739"/>
      <c r="F104" s="740" t="s">
        <v>191</v>
      </c>
      <c r="G104" s="741"/>
      <c r="I104" s="325" t="s">
        <v>192</v>
      </c>
    </row>
    <row r="105" spans="1:50" ht="12.75" x14ac:dyDescent="0.2">
      <c r="A105" s="384" t="s">
        <v>193</v>
      </c>
      <c r="B105" s="237"/>
      <c r="C105" s="238"/>
      <c r="D105" s="238"/>
      <c r="E105" s="238"/>
      <c r="F105" s="238"/>
      <c r="G105" s="239"/>
      <c r="I105" s="157" t="s">
        <v>44</v>
      </c>
    </row>
    <row r="106" spans="1:50" x14ac:dyDescent="0.2">
      <c r="A106" s="379" t="s">
        <v>194</v>
      </c>
      <c r="B106" s="590">
        <v>11</v>
      </c>
      <c r="C106" s="590"/>
      <c r="D106" s="591">
        <v>10</v>
      </c>
      <c r="E106" s="591">
        <v>8</v>
      </c>
      <c r="F106" s="592">
        <v>7</v>
      </c>
      <c r="G106" s="593">
        <v>0</v>
      </c>
    </row>
    <row r="107" spans="1:50" x14ac:dyDescent="0.2">
      <c r="A107" s="379" t="s">
        <v>195</v>
      </c>
      <c r="B107" s="594">
        <v>11</v>
      </c>
      <c r="C107" s="253">
        <v>8</v>
      </c>
      <c r="D107" s="595">
        <v>7</v>
      </c>
      <c r="E107" s="595">
        <v>6</v>
      </c>
      <c r="F107" s="596">
        <v>5</v>
      </c>
      <c r="G107" s="597">
        <v>0</v>
      </c>
    </row>
    <row r="108" spans="1:50" x14ac:dyDescent="0.2">
      <c r="A108" s="380" t="str">
        <f t="shared" ref="A108:A121" si="58">A38</f>
        <v>Integrated Mission Systems</v>
      </c>
      <c r="B108" s="499"/>
      <c r="C108" s="598"/>
      <c r="D108" s="598"/>
      <c r="E108" s="598"/>
      <c r="F108" s="598"/>
      <c r="G108" s="599"/>
    </row>
    <row r="109" spans="1:50" x14ac:dyDescent="0.2">
      <c r="A109" s="379" t="str">
        <f t="shared" si="58"/>
        <v>Ready MH-60R Command Control Communication Mission Systems (C)</v>
      </c>
      <c r="B109" s="233">
        <v>11</v>
      </c>
      <c r="C109" s="233">
        <f>ROUND(V39,0)</f>
        <v>6</v>
      </c>
      <c r="D109" s="235">
        <f t="shared" ref="D109:D118" si="59">C109-1</f>
        <v>5</v>
      </c>
      <c r="E109" s="235">
        <f t="shared" ref="E109:E118" si="60">D109-1</f>
        <v>4</v>
      </c>
      <c r="F109" s="236">
        <f t="shared" ref="F109:F118" si="61">E109-1</f>
        <v>3</v>
      </c>
      <c r="G109" s="234">
        <v>0</v>
      </c>
    </row>
    <row r="110" spans="1:50" x14ac:dyDescent="0.2">
      <c r="A110" s="379" t="str">
        <f t="shared" si="58"/>
        <v>Ready MH-60R Hawk Link Mission Systems (D)</v>
      </c>
      <c r="B110" s="590">
        <v>11</v>
      </c>
      <c r="C110" s="233">
        <f t="shared" ref="C110:C116" si="62">ROUND(V40,0)</f>
        <v>5</v>
      </c>
      <c r="D110" s="591">
        <f t="shared" si="59"/>
        <v>4</v>
      </c>
      <c r="E110" s="591">
        <f t="shared" si="60"/>
        <v>3</v>
      </c>
      <c r="F110" s="236">
        <f t="shared" si="61"/>
        <v>2</v>
      </c>
      <c r="G110" s="234">
        <v>0</v>
      </c>
    </row>
    <row r="111" spans="1:50" x14ac:dyDescent="0.2">
      <c r="A111" s="379" t="str">
        <f t="shared" si="58"/>
        <v>Ready MH-60R ASUW Mission Systems (E)</v>
      </c>
      <c r="B111" s="590">
        <v>11</v>
      </c>
      <c r="C111" s="233">
        <f t="shared" si="62"/>
        <v>5</v>
      </c>
      <c r="D111" s="591">
        <f t="shared" si="59"/>
        <v>4</v>
      </c>
      <c r="E111" s="591">
        <f t="shared" si="60"/>
        <v>3</v>
      </c>
      <c r="F111" s="236">
        <f t="shared" si="61"/>
        <v>2</v>
      </c>
      <c r="G111" s="234">
        <v>0</v>
      </c>
    </row>
    <row r="112" spans="1:50" x14ac:dyDescent="0.2">
      <c r="A112" s="379" t="str">
        <f t="shared" si="58"/>
        <v>Ready MH-60R ASW Mission Systems (F)</v>
      </c>
      <c r="B112" s="590">
        <v>11</v>
      </c>
      <c r="C112" s="233">
        <f t="shared" si="62"/>
        <v>3</v>
      </c>
      <c r="D112" s="591">
        <f t="shared" si="59"/>
        <v>2</v>
      </c>
      <c r="E112" s="591">
        <v>2</v>
      </c>
      <c r="F112" s="236">
        <v>1</v>
      </c>
      <c r="G112" s="234">
        <v>0</v>
      </c>
    </row>
    <row r="113" spans="1:7" x14ac:dyDescent="0.2">
      <c r="A113" s="379" t="str">
        <f t="shared" si="58"/>
        <v>Ready MH-60R Ordnance Mission Systems (G)</v>
      </c>
      <c r="B113" s="590">
        <v>11</v>
      </c>
      <c r="C113" s="233">
        <f t="shared" si="62"/>
        <v>4</v>
      </c>
      <c r="D113" s="591">
        <f t="shared" si="59"/>
        <v>3</v>
      </c>
      <c r="E113" s="591">
        <f t="shared" si="60"/>
        <v>2</v>
      </c>
      <c r="F113" s="236">
        <f t="shared" si="61"/>
        <v>1</v>
      </c>
      <c r="G113" s="593">
        <v>0</v>
      </c>
    </row>
    <row r="114" spans="1:7" x14ac:dyDescent="0.2">
      <c r="A114" s="379" t="str">
        <f t="shared" si="58"/>
        <v>Ready MH-60R Survivability Mission Systems (H)</v>
      </c>
      <c r="B114" s="594">
        <v>11</v>
      </c>
      <c r="C114" s="233">
        <f t="shared" si="62"/>
        <v>2</v>
      </c>
      <c r="D114" s="595">
        <f t="shared" si="59"/>
        <v>1</v>
      </c>
      <c r="E114" s="595">
        <v>1</v>
      </c>
      <c r="F114" s="236">
        <f t="shared" si="61"/>
        <v>0</v>
      </c>
      <c r="G114" s="597">
        <v>0</v>
      </c>
    </row>
    <row r="115" spans="1:7" x14ac:dyDescent="0.2">
      <c r="A115" s="379" t="str">
        <f t="shared" si="58"/>
        <v>Ready MH-60R Basic Mission Systems (I)</v>
      </c>
      <c r="B115" s="594">
        <v>11</v>
      </c>
      <c r="C115" s="233">
        <f t="shared" si="62"/>
        <v>8</v>
      </c>
      <c r="D115" s="595">
        <f t="shared" si="59"/>
        <v>7</v>
      </c>
      <c r="E115" s="595">
        <f t="shared" si="60"/>
        <v>6</v>
      </c>
      <c r="F115" s="236">
        <f t="shared" si="61"/>
        <v>5</v>
      </c>
      <c r="G115" s="597">
        <v>0</v>
      </c>
    </row>
    <row r="116" spans="1:7" x14ac:dyDescent="0.2">
      <c r="A116" s="379" t="str">
        <f t="shared" si="58"/>
        <v>Ready MH-60R Extended Mobility Mission Systems (J)</v>
      </c>
      <c r="B116" s="594">
        <v>11</v>
      </c>
      <c r="C116" s="233">
        <f t="shared" si="62"/>
        <v>3</v>
      </c>
      <c r="D116" s="595">
        <f t="shared" si="59"/>
        <v>2</v>
      </c>
      <c r="E116" s="595">
        <v>2</v>
      </c>
      <c r="F116" s="236">
        <f t="shared" si="61"/>
        <v>1</v>
      </c>
      <c r="G116" s="597">
        <v>0</v>
      </c>
    </row>
    <row r="117" spans="1:7" x14ac:dyDescent="0.2">
      <c r="A117" s="379" t="str">
        <f t="shared" si="58"/>
        <v>Ready MH-60R Shipboard Mission Systems (K)</v>
      </c>
      <c r="B117" s="594">
        <v>11</v>
      </c>
      <c r="C117" s="233">
        <v>8</v>
      </c>
      <c r="D117" s="595">
        <f t="shared" si="59"/>
        <v>7</v>
      </c>
      <c r="E117" s="595">
        <f t="shared" si="60"/>
        <v>6</v>
      </c>
      <c r="F117" s="236">
        <f t="shared" si="61"/>
        <v>5</v>
      </c>
      <c r="G117" s="597">
        <v>0</v>
      </c>
    </row>
    <row r="118" spans="1:7" x14ac:dyDescent="0.2">
      <c r="A118" s="379" t="str">
        <f t="shared" si="58"/>
        <v>Ready MH-60R IMC Flight Mission Systems (L)</v>
      </c>
      <c r="B118" s="594">
        <v>11</v>
      </c>
      <c r="C118" s="233">
        <v>8</v>
      </c>
      <c r="D118" s="595">
        <f t="shared" si="59"/>
        <v>7</v>
      </c>
      <c r="E118" s="595">
        <f t="shared" si="60"/>
        <v>6</v>
      </c>
      <c r="F118" s="236">
        <f t="shared" si="61"/>
        <v>5</v>
      </c>
      <c r="G118" s="597">
        <v>0</v>
      </c>
    </row>
    <row r="119" spans="1:7" x14ac:dyDescent="0.2">
      <c r="A119" s="381" t="str">
        <f t="shared" si="58"/>
        <v>Non-Integrated Mission Systems</v>
      </c>
      <c r="B119" s="499"/>
      <c r="C119" s="598"/>
      <c r="D119" s="598"/>
      <c r="E119" s="598"/>
      <c r="F119" s="598"/>
      <c r="G119" s="599"/>
    </row>
    <row r="120" spans="1:7" x14ac:dyDescent="0.2">
      <c r="A120" s="379" t="str">
        <f t="shared" si="58"/>
        <v xml:space="preserve">Assigned ALFS </v>
      </c>
      <c r="B120" s="233">
        <v>10</v>
      </c>
      <c r="C120" s="233"/>
      <c r="D120" s="235">
        <v>9</v>
      </c>
      <c r="E120" s="235">
        <v>6</v>
      </c>
      <c r="F120" s="236">
        <v>5</v>
      </c>
      <c r="G120" s="234">
        <v>0</v>
      </c>
    </row>
    <row r="121" spans="1:7" ht="12.75" thickBot="1" x14ac:dyDescent="0.25">
      <c r="A121" s="382" t="str">
        <f t="shared" si="58"/>
        <v xml:space="preserve">Ready ALFS </v>
      </c>
      <c r="B121" s="274">
        <v>10</v>
      </c>
      <c r="C121" s="274">
        <v>6</v>
      </c>
      <c r="D121" s="231">
        <v>5</v>
      </c>
      <c r="E121" s="231"/>
      <c r="F121" s="232">
        <v>4</v>
      </c>
      <c r="G121" s="275">
        <v>0</v>
      </c>
    </row>
    <row r="124" spans="1:7" x14ac:dyDescent="0.2">
      <c r="A124" s="383" t="s">
        <v>196</v>
      </c>
      <c r="B124" s="383" t="s">
        <v>197</v>
      </c>
    </row>
    <row r="125" spans="1:7" x14ac:dyDescent="0.2">
      <c r="A125" s="600" t="s">
        <v>198</v>
      </c>
      <c r="B125" s="601">
        <f>HLOOKUP($B$124,'MH-60R Mission System Summary'!$B$1:$F$12,2,FALSE)</f>
        <v>0.846447144175699</v>
      </c>
    </row>
    <row r="126" spans="1:7" x14ac:dyDescent="0.2">
      <c r="A126" s="600" t="s">
        <v>142</v>
      </c>
      <c r="B126" s="601">
        <f>HLOOKUP($B$124,'MH-60R Mission System Summary'!$B$1:$F$12,3,FALSE)</f>
        <v>0.68039861613732378</v>
      </c>
    </row>
    <row r="127" spans="1:7" x14ac:dyDescent="0.2">
      <c r="A127" s="600" t="s">
        <v>143</v>
      </c>
      <c r="B127" s="601">
        <f>HLOOKUP($B$124,'MH-60R Mission System Summary'!$B$1:$F$12,4,FALSE)</f>
        <v>0.51802981180318275</v>
      </c>
    </row>
    <row r="128" spans="1:7" x14ac:dyDescent="0.2">
      <c r="A128" s="600" t="s">
        <v>144</v>
      </c>
      <c r="B128" s="601">
        <f>HLOOKUP($B$124,'MH-60R Mission System Summary'!$B$1:$F$12,5,FALSE)</f>
        <v>0.52904319969406455</v>
      </c>
    </row>
    <row r="129" spans="1:2" x14ac:dyDescent="0.2">
      <c r="A129" s="600" t="s">
        <v>145</v>
      </c>
      <c r="B129" s="601">
        <f>HLOOKUP($B$124,'MH-60R Mission System Summary'!$B$1:$F$12,6,FALSE)</f>
        <v>0.35723434859631076</v>
      </c>
    </row>
    <row r="130" spans="1:2" x14ac:dyDescent="0.2">
      <c r="A130" s="600" t="s">
        <v>146</v>
      </c>
      <c r="B130" s="601">
        <f>HLOOKUP($B$124,'MH-60R Mission System Summary'!$B$1:$F$12,7,FALSE)</f>
        <v>0.45841156910101094</v>
      </c>
    </row>
    <row r="131" spans="1:2" x14ac:dyDescent="0.2">
      <c r="A131" s="600" t="s">
        <v>147</v>
      </c>
      <c r="B131" s="601">
        <f>HLOOKUP($B$124,'MH-60R Mission System Summary'!$B$1:$F$12,8,FALSE)</f>
        <v>0.25472392850481979</v>
      </c>
    </row>
    <row r="132" spans="1:2" x14ac:dyDescent="0.2">
      <c r="A132" s="600" t="s">
        <v>148</v>
      </c>
      <c r="B132" s="601">
        <f>HLOOKUP($B$124,'MH-60R Mission System Summary'!$B$1:$F$12,9,FALSE)</f>
        <v>0.85894281638977332</v>
      </c>
    </row>
    <row r="133" spans="1:2" x14ac:dyDescent="0.2">
      <c r="A133" s="600" t="s">
        <v>149</v>
      </c>
      <c r="B133" s="601">
        <f>HLOOKUP($B$124,'MH-60R Mission System Summary'!$B$1:$F$12,10,FALSE)</f>
        <v>0.32891411420612249</v>
      </c>
    </row>
    <row r="134" spans="1:2" x14ac:dyDescent="0.2">
      <c r="A134" s="600" t="s">
        <v>150</v>
      </c>
      <c r="B134" s="601">
        <f>HLOOKUP($B$124,'MH-60R Mission System Summary'!$B$1:$F$12,11,FALSE)</f>
        <v>0.1750413519592332</v>
      </c>
    </row>
    <row r="135" spans="1:2" x14ac:dyDescent="0.2">
      <c r="A135" s="600" t="s">
        <v>151</v>
      </c>
      <c r="B135" s="601">
        <f>HLOOKUP($B$124,'MH-60R Mission System Summary'!$B$1:$F$12,12,FALSE)</f>
        <v>1</v>
      </c>
    </row>
  </sheetData>
  <mergeCells count="29">
    <mergeCell ref="B104:C104"/>
    <mergeCell ref="D104:E104"/>
    <mergeCell ref="F104:G104"/>
    <mergeCell ref="L2:O2"/>
    <mergeCell ref="A100:B100"/>
    <mergeCell ref="A84:B84"/>
    <mergeCell ref="A85:B85"/>
    <mergeCell ref="L3:N3"/>
    <mergeCell ref="L4:N4"/>
    <mergeCell ref="L5:N5"/>
    <mergeCell ref="L6:N6"/>
    <mergeCell ref="L7:N7"/>
    <mergeCell ref="L9:N9"/>
    <mergeCell ref="X16:AB16"/>
    <mergeCell ref="A74:AQ74"/>
    <mergeCell ref="A1:G1"/>
    <mergeCell ref="L8:N8"/>
    <mergeCell ref="B16:G16"/>
    <mergeCell ref="R16:W16"/>
    <mergeCell ref="K16:M16"/>
    <mergeCell ref="N16:Q16"/>
    <mergeCell ref="H16:J16"/>
    <mergeCell ref="M1:P1"/>
    <mergeCell ref="AC12:AP12"/>
    <mergeCell ref="AD16:AF16"/>
    <mergeCell ref="AG16:AI16"/>
    <mergeCell ref="AJ16:AL16"/>
    <mergeCell ref="AM16:AP16"/>
    <mergeCell ref="AD1:AE1"/>
  </mergeCells>
  <conditionalFormatting sqref="C106:C121">
    <cfRule type="cellIs" dxfId="174" priority="26" operator="equal">
      <formula>B106</formula>
    </cfRule>
  </conditionalFormatting>
  <conditionalFormatting sqref="D106:E115 D119:E121">
    <cfRule type="cellIs" dxfId="173" priority="25" operator="equal">
      <formula>C106</formula>
    </cfRule>
  </conditionalFormatting>
  <conditionalFormatting sqref="E106">
    <cfRule type="cellIs" dxfId="172" priority="24" operator="equal">
      <formula>D106</formula>
    </cfRule>
  </conditionalFormatting>
  <conditionalFormatting sqref="F106">
    <cfRule type="cellIs" dxfId="171" priority="23" operator="equal">
      <formula>E106</formula>
    </cfRule>
  </conditionalFormatting>
  <conditionalFormatting sqref="F107:F121">
    <cfRule type="cellIs" dxfId="170" priority="21" operator="equal">
      <formula>G107</formula>
    </cfRule>
    <cfRule type="cellIs" dxfId="169" priority="22" operator="equal">
      <formula>E107</formula>
    </cfRule>
  </conditionalFormatting>
  <conditionalFormatting sqref="C106:C118">
    <cfRule type="cellIs" dxfId="168" priority="20" operator="equal">
      <formula>B106</formula>
    </cfRule>
  </conditionalFormatting>
  <conditionalFormatting sqref="D106:E115">
    <cfRule type="cellIs" dxfId="167" priority="19" operator="equal">
      <formula>C106</formula>
    </cfRule>
  </conditionalFormatting>
  <conditionalFormatting sqref="E106">
    <cfRule type="cellIs" dxfId="166" priority="18" operator="equal">
      <formula>D106</formula>
    </cfRule>
  </conditionalFormatting>
  <conditionalFormatting sqref="F106">
    <cfRule type="cellIs" dxfId="165" priority="17" operator="equal">
      <formula>E106</formula>
    </cfRule>
  </conditionalFormatting>
  <conditionalFormatting sqref="F107:F118">
    <cfRule type="cellIs" dxfId="164" priority="15" operator="equal">
      <formula>G107</formula>
    </cfRule>
    <cfRule type="cellIs" dxfId="163" priority="16" operator="equal">
      <formula>E107</formula>
    </cfRule>
  </conditionalFormatting>
  <conditionalFormatting sqref="F106">
    <cfRule type="cellIs" dxfId="162" priority="14" operator="equal">
      <formula>E106</formula>
    </cfRule>
  </conditionalFormatting>
  <conditionalFormatting sqref="C106">
    <cfRule type="cellIs" dxfId="161" priority="13" operator="equal">
      <formula>B106</formula>
    </cfRule>
  </conditionalFormatting>
  <conditionalFormatting sqref="D106">
    <cfRule type="cellIs" dxfId="160" priority="12" operator="equal">
      <formula>C106</formula>
    </cfRule>
  </conditionalFormatting>
  <conditionalFormatting sqref="E106">
    <cfRule type="cellIs" dxfId="159" priority="11" operator="equal">
      <formula>D106</formula>
    </cfRule>
  </conditionalFormatting>
  <conditionalFormatting sqref="D106">
    <cfRule type="cellIs" dxfId="158" priority="10" operator="equal">
      <formula>C106</formula>
    </cfRule>
  </conditionalFormatting>
  <conditionalFormatting sqref="E106">
    <cfRule type="cellIs" dxfId="157" priority="9" operator="equal">
      <formula>D106</formula>
    </cfRule>
  </conditionalFormatting>
  <conditionalFormatting sqref="D116:E118">
    <cfRule type="cellIs" dxfId="156" priority="7" operator="equal">
      <formula>C116</formula>
    </cfRule>
  </conditionalFormatting>
  <conditionalFormatting sqref="D116:E118">
    <cfRule type="cellIs" dxfId="155" priority="3" operator="equal">
      <formula>C116</formula>
    </cfRule>
  </conditionalFormatting>
  <hyperlinks>
    <hyperlink ref="H1" location="Inventory!A1" display="Inventory" xr:uid="{00000000-0004-0000-0200-000000000000}"/>
    <hyperlink ref="H2" location="'MH-60R CVW 11 Plane 20 Crew'!A121" display="AMFOM" xr:uid="{00000000-0004-0000-0200-000001000000}"/>
    <hyperlink ref="I104" location="'MH-60R CVW 11 Plane 20 Crew'!A1" display="Top" xr:uid="{00000000-0004-0000-0200-000002000000}"/>
    <hyperlink ref="I105" location="Inventory!A1" display="Inventory" xr:uid="{00000000-0004-0000-0200-000003000000}"/>
  </hyperlinks>
  <printOptions horizontalCentered="1" verticalCentered="1"/>
  <pageMargins left="0.5" right="0.25" top="0.5" bottom="0.5" header="0.5" footer="0.5"/>
  <pageSetup scale="3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35"/>
  <sheetViews>
    <sheetView showGridLines="0" topLeftCell="A58" zoomScaleNormal="100" zoomScaleSheetLayoutView="100" workbookViewId="0">
      <selection activeCell="A74" sqref="A74:AQ74"/>
    </sheetView>
  </sheetViews>
  <sheetFormatPr defaultRowHeight="12" x14ac:dyDescent="0.2"/>
  <cols>
    <col min="1" max="1" width="55" style="15" bestFit="1" customWidth="1"/>
    <col min="2" max="13" width="5.7109375" style="15" customWidth="1"/>
    <col min="14" max="15" width="6.5703125" style="15" bestFit="1" customWidth="1"/>
    <col min="16" max="43" width="5.7109375" style="15" customWidth="1"/>
    <col min="44" max="16384" width="9.140625" style="15"/>
  </cols>
  <sheetData>
    <row r="1" spans="1:43" s="158" customFormat="1" ht="18.75" x14ac:dyDescent="0.3">
      <c r="A1" s="720" t="s">
        <v>199</v>
      </c>
      <c r="B1" s="720"/>
      <c r="C1" s="720"/>
      <c r="D1" s="720"/>
      <c r="E1" s="720"/>
      <c r="F1" s="720"/>
      <c r="G1" s="720"/>
      <c r="H1" s="157" t="s">
        <v>44</v>
      </c>
      <c r="K1" s="139"/>
      <c r="L1" s="159" t="s">
        <v>45</v>
      </c>
      <c r="M1" s="728">
        <v>44835</v>
      </c>
      <c r="N1" s="729"/>
      <c r="O1" s="730"/>
      <c r="P1" s="730"/>
      <c r="Q1" s="160"/>
      <c r="R1" s="160"/>
      <c r="S1" s="160"/>
      <c r="T1" s="160"/>
      <c r="U1" s="160"/>
      <c r="V1" s="160"/>
      <c r="W1" s="160"/>
      <c r="AC1" s="370" t="s">
        <v>46</v>
      </c>
      <c r="AD1" s="735">
        <v>6.02</v>
      </c>
      <c r="AE1" s="735"/>
    </row>
    <row r="2" spans="1:43" s="150" customFormat="1" ht="12.75" x14ac:dyDescent="0.2">
      <c r="A2" s="149" t="s">
        <v>47</v>
      </c>
      <c r="B2" s="2">
        <v>10</v>
      </c>
      <c r="C2" s="3"/>
      <c r="D2" s="3"/>
      <c r="H2" s="324" t="s">
        <v>3</v>
      </c>
      <c r="L2" s="742" t="s">
        <v>48</v>
      </c>
      <c r="M2" s="743"/>
      <c r="N2" s="743"/>
      <c r="O2" s="744"/>
      <c r="P2" s="6"/>
      <c r="Q2" s="151"/>
      <c r="V2" s="131"/>
      <c r="W2" s="131"/>
      <c r="X2" s="6"/>
      <c r="Y2" s="6"/>
      <c r="Z2" s="6"/>
      <c r="AA2" s="6"/>
      <c r="AB2" s="6"/>
    </row>
    <row r="3" spans="1:43" s="150" customFormat="1" ht="11.25" x14ac:dyDescent="0.2">
      <c r="A3" s="149" t="s">
        <v>49</v>
      </c>
      <c r="B3" s="136">
        <f>B4/B2</f>
        <v>1.8</v>
      </c>
      <c r="C3" s="3"/>
      <c r="D3" s="3"/>
      <c r="E3" s="149"/>
      <c r="F3" s="3"/>
      <c r="L3" s="721" t="s">
        <v>50</v>
      </c>
      <c r="M3" s="722"/>
      <c r="N3" s="723"/>
      <c r="O3" s="486">
        <v>0.2</v>
      </c>
      <c r="P3" s="6"/>
      <c r="Q3" s="151"/>
      <c r="X3" s="6"/>
      <c r="Y3" s="6"/>
      <c r="Z3" s="6"/>
      <c r="AA3" s="6"/>
      <c r="AB3" s="6"/>
    </row>
    <row r="4" spans="1:43" s="150" customFormat="1" ht="11.25" x14ac:dyDescent="0.2">
      <c r="A4" s="149" t="s">
        <v>51</v>
      </c>
      <c r="B4" s="2">
        <v>18</v>
      </c>
      <c r="C4" s="3"/>
      <c r="D4" s="3"/>
      <c r="E4" s="149"/>
      <c r="F4" s="3"/>
      <c r="G4" s="6"/>
      <c r="H4" s="6"/>
      <c r="L4" s="749" t="s">
        <v>52</v>
      </c>
      <c r="M4" s="749"/>
      <c r="N4" s="749"/>
      <c r="O4" s="486">
        <v>0.4</v>
      </c>
      <c r="P4" s="6"/>
      <c r="Q4" s="151"/>
      <c r="V4" s="131"/>
      <c r="W4" s="131"/>
      <c r="X4" s="6"/>
      <c r="Y4" s="6"/>
      <c r="Z4" s="6"/>
      <c r="AA4" s="6"/>
      <c r="AB4" s="6"/>
    </row>
    <row r="5" spans="1:43" s="150" customFormat="1" ht="11.25" x14ac:dyDescent="0.2">
      <c r="A5" s="149" t="s">
        <v>53</v>
      </c>
      <c r="B5" s="3">
        <v>2</v>
      </c>
      <c r="C5" s="8"/>
      <c r="D5" s="3"/>
      <c r="E5" s="149"/>
      <c r="F5" s="3"/>
      <c r="G5" s="6"/>
      <c r="H5" s="6"/>
      <c r="L5" s="750" t="s">
        <v>54</v>
      </c>
      <c r="M5" s="750"/>
      <c r="N5" s="750"/>
      <c r="O5" s="487">
        <v>0.55000000000000004</v>
      </c>
      <c r="P5" s="6"/>
      <c r="Q5" s="152"/>
      <c r="V5" s="131"/>
      <c r="W5" s="131"/>
      <c r="X5" s="6"/>
      <c r="Y5" s="6"/>
      <c r="Z5" s="6"/>
      <c r="AA5" s="6"/>
      <c r="AB5" s="6"/>
    </row>
    <row r="6" spans="1:43" s="150" customFormat="1" ht="11.25" x14ac:dyDescent="0.2">
      <c r="A6" s="153" t="s">
        <v>55</v>
      </c>
      <c r="B6" s="38">
        <v>28</v>
      </c>
      <c r="C6" s="8"/>
      <c r="D6" s="3"/>
      <c r="E6" s="153"/>
      <c r="F6" s="3"/>
      <c r="G6" s="6"/>
      <c r="H6" s="6"/>
      <c r="L6" s="749" t="s">
        <v>56</v>
      </c>
      <c r="M6" s="749"/>
      <c r="N6" s="749"/>
      <c r="O6" s="486">
        <v>0.55000000000000004</v>
      </c>
      <c r="P6" s="6"/>
      <c r="Q6" s="151"/>
      <c r="V6" s="133"/>
      <c r="W6" s="133"/>
      <c r="X6" s="6"/>
      <c r="Y6" s="6"/>
      <c r="Z6" s="6"/>
      <c r="AA6" s="6"/>
      <c r="AB6" s="6"/>
    </row>
    <row r="7" spans="1:43" s="150" customFormat="1" ht="11.25" x14ac:dyDescent="0.2">
      <c r="A7" s="149" t="s">
        <v>57</v>
      </c>
      <c r="B7" s="37">
        <f>B6*B4</f>
        <v>504</v>
      </c>
      <c r="C7" s="10"/>
      <c r="D7" s="10"/>
      <c r="E7" s="149"/>
      <c r="F7" s="3"/>
      <c r="G7" s="6"/>
      <c r="H7" s="6"/>
      <c r="L7" s="751" t="s">
        <v>58</v>
      </c>
      <c r="M7" s="752"/>
      <c r="N7" s="753"/>
      <c r="O7" s="486">
        <v>0.6</v>
      </c>
      <c r="P7" s="6"/>
      <c r="Q7" s="151"/>
      <c r="V7" s="38"/>
      <c r="W7" s="131"/>
      <c r="X7" s="6"/>
      <c r="Y7" s="6"/>
      <c r="Z7" s="6"/>
      <c r="AA7" s="6"/>
      <c r="AB7" s="6"/>
    </row>
    <row r="8" spans="1:43" s="150" customFormat="1" ht="11.25" x14ac:dyDescent="0.2">
      <c r="A8" s="149" t="s">
        <v>59</v>
      </c>
      <c r="B8" s="38">
        <f>B7/B5</f>
        <v>252</v>
      </c>
      <c r="C8" s="38">
        <f>B8/B4</f>
        <v>14</v>
      </c>
      <c r="D8" s="10" t="s">
        <v>60</v>
      </c>
      <c r="E8" s="149"/>
      <c r="F8" s="3"/>
      <c r="G8" s="6"/>
      <c r="H8" s="6"/>
      <c r="L8" s="721" t="s">
        <v>61</v>
      </c>
      <c r="M8" s="722"/>
      <c r="N8" s="723"/>
      <c r="O8" s="486">
        <v>0.75</v>
      </c>
      <c r="P8" s="6"/>
      <c r="Q8" s="151"/>
      <c r="V8" s="38"/>
      <c r="W8" s="38"/>
      <c r="X8" s="6"/>
      <c r="Y8" s="6"/>
      <c r="Z8" s="6"/>
      <c r="AA8" s="6"/>
      <c r="AB8" s="6"/>
    </row>
    <row r="9" spans="1:43" s="150" customFormat="1" ht="11.25" x14ac:dyDescent="0.2">
      <c r="A9" s="149" t="s">
        <v>62</v>
      </c>
      <c r="B9" s="38">
        <f>C9*$B$4</f>
        <v>18</v>
      </c>
      <c r="C9" s="3">
        <v>1</v>
      </c>
      <c r="D9" s="5" t="s">
        <v>60</v>
      </c>
      <c r="E9" s="149"/>
      <c r="F9" s="3"/>
      <c r="G9" s="154" t="s">
        <v>63</v>
      </c>
      <c r="H9" s="155">
        <v>0.4</v>
      </c>
      <c r="I9" s="6"/>
      <c r="J9" s="6"/>
      <c r="K9" s="6"/>
      <c r="L9" s="754" t="s">
        <v>64</v>
      </c>
      <c r="M9" s="754"/>
      <c r="N9" s="754"/>
      <c r="O9" s="43"/>
      <c r="P9" s="6"/>
      <c r="Q9" s="151"/>
      <c r="R9" s="38"/>
      <c r="S9" s="132"/>
      <c r="T9" s="131"/>
      <c r="U9" s="134"/>
      <c r="V9" s="38"/>
      <c r="W9" s="38"/>
      <c r="X9" s="6"/>
      <c r="Y9" s="6"/>
      <c r="Z9" s="6"/>
      <c r="AA9" s="6"/>
      <c r="AB9" s="6"/>
    </row>
    <row r="10" spans="1:43" s="150" customFormat="1" ht="11.25" x14ac:dyDescent="0.2">
      <c r="A10" s="149" t="s">
        <v>65</v>
      </c>
      <c r="B10" s="38">
        <f>C10*$B$4</f>
        <v>265.68</v>
      </c>
      <c r="C10" s="3">
        <v>14.76</v>
      </c>
      <c r="D10" s="5" t="s">
        <v>60</v>
      </c>
      <c r="E10" s="149"/>
      <c r="F10" s="3"/>
      <c r="G10" s="156" t="s">
        <v>66</v>
      </c>
      <c r="H10" s="155">
        <v>0.28699999999999998</v>
      </c>
      <c r="I10" s="6"/>
      <c r="J10" s="6"/>
      <c r="K10" s="6"/>
      <c r="L10" s="6"/>
      <c r="M10" s="6"/>
      <c r="N10" s="6"/>
      <c r="O10" s="6"/>
      <c r="P10" s="6"/>
      <c r="Q10" s="6"/>
      <c r="R10" s="6"/>
      <c r="S10" s="6"/>
      <c r="T10" s="6"/>
      <c r="U10" s="6"/>
      <c r="V10" s="6"/>
      <c r="W10" s="6"/>
      <c r="X10" s="6"/>
      <c r="Y10" s="6"/>
      <c r="Z10" s="6"/>
      <c r="AA10" s="6"/>
      <c r="AB10" s="6"/>
    </row>
    <row r="11" spans="1:43" s="150" customFormat="1" thickBot="1" x14ac:dyDescent="0.25">
      <c r="A11" s="215" t="s">
        <v>67</v>
      </c>
      <c r="B11" s="5">
        <f>C11*B4</f>
        <v>64.8</v>
      </c>
      <c r="C11" s="6">
        <v>3.6</v>
      </c>
      <c r="D11" s="12" t="s">
        <v>60</v>
      </c>
      <c r="E11" s="12"/>
      <c r="F11" s="6"/>
      <c r="G11" s="6"/>
      <c r="H11" s="6"/>
      <c r="I11" s="6"/>
      <c r="J11" s="6"/>
      <c r="K11" s="6"/>
      <c r="L11" s="6"/>
      <c r="M11" s="6"/>
      <c r="N11" s="6"/>
      <c r="O11" s="6"/>
      <c r="P11" s="6"/>
      <c r="Q11" s="6"/>
      <c r="R11" s="6"/>
      <c r="S11" s="6"/>
      <c r="T11" s="6"/>
      <c r="U11" s="6"/>
      <c r="V11" s="6"/>
      <c r="W11" s="6"/>
      <c r="X11" s="6"/>
      <c r="Y11" s="6"/>
      <c r="Z11" s="6"/>
      <c r="AA11" s="6"/>
      <c r="AB11" s="6"/>
    </row>
    <row r="12" spans="1:43" s="150" customFormat="1" ht="11.25" x14ac:dyDescent="0.2">
      <c r="C12" s="12"/>
      <c r="D12" s="12"/>
      <c r="E12" s="12"/>
      <c r="F12" s="6"/>
      <c r="G12" s="6"/>
      <c r="H12" s="6"/>
      <c r="I12" s="6"/>
      <c r="J12" s="6"/>
      <c r="K12" s="6"/>
      <c r="L12" s="6"/>
      <c r="M12" s="6"/>
      <c r="N12" s="6"/>
      <c r="O12" s="6"/>
      <c r="P12" s="6"/>
      <c r="Q12" s="6"/>
      <c r="R12" s="6"/>
      <c r="S12" s="6"/>
      <c r="T12" s="6"/>
      <c r="U12" s="6"/>
      <c r="V12" s="6"/>
      <c r="W12" s="6"/>
      <c r="X12" s="6"/>
      <c r="Y12" s="6"/>
      <c r="Z12" s="6"/>
      <c r="AA12" s="6"/>
      <c r="AB12" s="6"/>
      <c r="AC12" s="731" t="s">
        <v>68</v>
      </c>
      <c r="AD12" s="732"/>
      <c r="AE12" s="732"/>
      <c r="AF12" s="732"/>
      <c r="AG12" s="732"/>
      <c r="AH12" s="732"/>
      <c r="AI12" s="732"/>
      <c r="AJ12" s="732"/>
      <c r="AK12" s="732"/>
      <c r="AL12" s="732"/>
      <c r="AM12" s="732"/>
      <c r="AN12" s="732"/>
      <c r="AO12" s="732"/>
      <c r="AP12" s="733"/>
    </row>
    <row r="13" spans="1:43" s="13" customFormat="1" ht="59.25" x14ac:dyDescent="0.2">
      <c r="A13" s="488" t="s">
        <v>69</v>
      </c>
      <c r="B13" s="489" t="s">
        <v>50</v>
      </c>
      <c r="C13" s="489" t="s">
        <v>50</v>
      </c>
      <c r="D13" s="489" t="s">
        <v>50</v>
      </c>
      <c r="E13" s="489" t="s">
        <v>50</v>
      </c>
      <c r="F13" s="489" t="s">
        <v>50</v>
      </c>
      <c r="G13" s="489" t="s">
        <v>50</v>
      </c>
      <c r="H13" s="489" t="s">
        <v>52</v>
      </c>
      <c r="I13" s="489" t="s">
        <v>52</v>
      </c>
      <c r="J13" s="489" t="s">
        <v>52</v>
      </c>
      <c r="K13" s="489" t="s">
        <v>54</v>
      </c>
      <c r="L13" s="489" t="s">
        <v>56</v>
      </c>
      <c r="M13" s="489" t="s">
        <v>56</v>
      </c>
      <c r="N13" s="489" t="s">
        <v>58</v>
      </c>
      <c r="O13" s="489" t="s">
        <v>58</v>
      </c>
      <c r="P13" s="489" t="s">
        <v>58</v>
      </c>
      <c r="Q13" s="489" t="s">
        <v>58</v>
      </c>
      <c r="R13" s="489" t="s">
        <v>61</v>
      </c>
      <c r="S13" s="489" t="s">
        <v>61</v>
      </c>
      <c r="T13" s="489" t="s">
        <v>61</v>
      </c>
      <c r="U13" s="489" t="s">
        <v>61</v>
      </c>
      <c r="V13" s="489" t="s">
        <v>61</v>
      </c>
      <c r="W13" s="489" t="s">
        <v>61</v>
      </c>
      <c r="X13" s="489" t="s">
        <v>58</v>
      </c>
      <c r="Y13" s="489" t="s">
        <v>58</v>
      </c>
      <c r="Z13" s="489" t="s">
        <v>58</v>
      </c>
      <c r="AA13" s="489" t="s">
        <v>58</v>
      </c>
      <c r="AB13" s="490" t="s">
        <v>58</v>
      </c>
      <c r="AC13" s="86" t="s">
        <v>50</v>
      </c>
      <c r="AD13" s="489" t="s">
        <v>52</v>
      </c>
      <c r="AE13" s="489" t="s">
        <v>52</v>
      </c>
      <c r="AF13" s="489" t="s">
        <v>52</v>
      </c>
      <c r="AG13" s="489" t="s">
        <v>54</v>
      </c>
      <c r="AH13" s="489" t="s">
        <v>56</v>
      </c>
      <c r="AI13" s="489" t="s">
        <v>56</v>
      </c>
      <c r="AJ13" s="489" t="s">
        <v>58</v>
      </c>
      <c r="AK13" s="489" t="s">
        <v>58</v>
      </c>
      <c r="AL13" s="489" t="s">
        <v>58</v>
      </c>
      <c r="AM13" s="489" t="s">
        <v>58</v>
      </c>
      <c r="AN13" s="489" t="s">
        <v>58</v>
      </c>
      <c r="AO13" s="489" t="s">
        <v>58</v>
      </c>
      <c r="AP13" s="491" t="s">
        <v>58</v>
      </c>
      <c r="AQ13" s="492" t="s">
        <v>70</v>
      </c>
    </row>
    <row r="14" spans="1:43" s="14" customFormat="1" x14ac:dyDescent="0.2">
      <c r="A14" s="488" t="s">
        <v>71</v>
      </c>
      <c r="B14" s="493" t="s">
        <v>72</v>
      </c>
      <c r="C14" s="493" t="s">
        <v>73</v>
      </c>
      <c r="D14" s="493" t="s">
        <v>74</v>
      </c>
      <c r="E14" s="493" t="s">
        <v>75</v>
      </c>
      <c r="F14" s="493" t="s">
        <v>76</v>
      </c>
      <c r="G14" s="493" t="s">
        <v>77</v>
      </c>
      <c r="H14" s="493" t="s">
        <v>78</v>
      </c>
      <c r="I14" s="493" t="s">
        <v>79</v>
      </c>
      <c r="J14" s="493" t="s">
        <v>80</v>
      </c>
      <c r="K14" s="493" t="s">
        <v>81</v>
      </c>
      <c r="L14" s="493" t="s">
        <v>82</v>
      </c>
      <c r="M14" s="493" t="s">
        <v>83</v>
      </c>
      <c r="N14" s="493" t="s">
        <v>84</v>
      </c>
      <c r="O14" s="493" t="s">
        <v>85</v>
      </c>
      <c r="P14" s="493" t="s">
        <v>86</v>
      </c>
      <c r="Q14" s="493" t="s">
        <v>87</v>
      </c>
      <c r="R14" s="493" t="s">
        <v>88</v>
      </c>
      <c r="S14" s="493" t="s">
        <v>89</v>
      </c>
      <c r="T14" s="493" t="s">
        <v>90</v>
      </c>
      <c r="U14" s="493" t="s">
        <v>91</v>
      </c>
      <c r="V14" s="493" t="s">
        <v>92</v>
      </c>
      <c r="W14" s="493" t="s">
        <v>93</v>
      </c>
      <c r="X14" s="494" t="s">
        <v>94</v>
      </c>
      <c r="Y14" s="493" t="s">
        <v>95</v>
      </c>
      <c r="Z14" s="493" t="s">
        <v>96</v>
      </c>
      <c r="AA14" s="493" t="s">
        <v>97</v>
      </c>
      <c r="AB14" s="495" t="s">
        <v>98</v>
      </c>
      <c r="AC14" s="87" t="s">
        <v>99</v>
      </c>
      <c r="AD14" s="494" t="s">
        <v>100</v>
      </c>
      <c r="AE14" s="494" t="s">
        <v>101</v>
      </c>
      <c r="AF14" s="494" t="s">
        <v>102</v>
      </c>
      <c r="AG14" s="494" t="s">
        <v>103</v>
      </c>
      <c r="AH14" s="494" t="s">
        <v>104</v>
      </c>
      <c r="AI14" s="494" t="s">
        <v>105</v>
      </c>
      <c r="AJ14" s="494" t="s">
        <v>106</v>
      </c>
      <c r="AK14" s="494" t="s">
        <v>107</v>
      </c>
      <c r="AL14" s="494" t="s">
        <v>108</v>
      </c>
      <c r="AM14" s="494" t="s">
        <v>109</v>
      </c>
      <c r="AN14" s="494" t="s">
        <v>110</v>
      </c>
      <c r="AO14" s="494" t="s">
        <v>111</v>
      </c>
      <c r="AP14" s="496" t="s">
        <v>112</v>
      </c>
      <c r="AQ14" s="497" t="s">
        <v>113</v>
      </c>
    </row>
    <row r="15" spans="1:43" s="14" customFormat="1" x14ac:dyDescent="0.2">
      <c r="A15" s="488" t="s">
        <v>114</v>
      </c>
      <c r="B15" s="494">
        <v>1</v>
      </c>
      <c r="C15" s="494">
        <v>2</v>
      </c>
      <c r="D15" s="494">
        <v>3</v>
      </c>
      <c r="E15" s="494">
        <v>4</v>
      </c>
      <c r="F15" s="494">
        <v>5</v>
      </c>
      <c r="G15" s="494">
        <v>6</v>
      </c>
      <c r="H15" s="494">
        <v>7</v>
      </c>
      <c r="I15" s="494">
        <v>8</v>
      </c>
      <c r="J15" s="494">
        <v>9</v>
      </c>
      <c r="K15" s="494">
        <v>10</v>
      </c>
      <c r="L15" s="494">
        <v>11</v>
      </c>
      <c r="M15" s="494">
        <v>12</v>
      </c>
      <c r="N15" s="494">
        <v>13</v>
      </c>
      <c r="O15" s="494">
        <v>14</v>
      </c>
      <c r="P15" s="494">
        <v>15</v>
      </c>
      <c r="Q15" s="494">
        <v>16</v>
      </c>
      <c r="R15" s="494">
        <v>17</v>
      </c>
      <c r="S15" s="494">
        <v>18</v>
      </c>
      <c r="T15" s="494">
        <v>19</v>
      </c>
      <c r="U15" s="494">
        <v>20</v>
      </c>
      <c r="V15" s="494">
        <v>21</v>
      </c>
      <c r="W15" s="494">
        <v>22</v>
      </c>
      <c r="X15" s="494">
        <v>23</v>
      </c>
      <c r="Y15" s="494">
        <v>24</v>
      </c>
      <c r="Z15" s="494">
        <v>25</v>
      </c>
      <c r="AA15" s="494">
        <v>26</v>
      </c>
      <c r="AB15" s="498">
        <v>27</v>
      </c>
      <c r="AC15" s="87">
        <v>28</v>
      </c>
      <c r="AD15" s="494">
        <v>29</v>
      </c>
      <c r="AE15" s="494">
        <v>30</v>
      </c>
      <c r="AF15" s="494">
        <v>31</v>
      </c>
      <c r="AG15" s="494">
        <v>32</v>
      </c>
      <c r="AH15" s="494">
        <v>33</v>
      </c>
      <c r="AI15" s="494">
        <v>34</v>
      </c>
      <c r="AJ15" s="494">
        <v>35</v>
      </c>
      <c r="AK15" s="494">
        <v>36</v>
      </c>
      <c r="AL15" s="494">
        <v>37</v>
      </c>
      <c r="AM15" s="494">
        <v>38</v>
      </c>
      <c r="AN15" s="494">
        <v>39</v>
      </c>
      <c r="AO15" s="494">
        <v>40</v>
      </c>
      <c r="AP15" s="496">
        <v>41</v>
      </c>
      <c r="AQ15" s="497">
        <v>28</v>
      </c>
    </row>
    <row r="16" spans="1:43" x14ac:dyDescent="0.2">
      <c r="A16" s="488" t="s">
        <v>115</v>
      </c>
      <c r="B16" s="715" t="s">
        <v>116</v>
      </c>
      <c r="C16" s="716"/>
      <c r="D16" s="716"/>
      <c r="E16" s="716"/>
      <c r="F16" s="716"/>
      <c r="G16" s="724"/>
      <c r="H16" s="725"/>
      <c r="I16" s="726"/>
      <c r="J16" s="727"/>
      <c r="K16" s="725"/>
      <c r="L16" s="726"/>
      <c r="M16" s="727"/>
      <c r="N16" s="715" t="s">
        <v>117</v>
      </c>
      <c r="O16" s="716"/>
      <c r="P16" s="716"/>
      <c r="Q16" s="724"/>
      <c r="R16" s="715" t="s">
        <v>61</v>
      </c>
      <c r="S16" s="716"/>
      <c r="T16" s="716"/>
      <c r="U16" s="716"/>
      <c r="V16" s="716"/>
      <c r="W16" s="724"/>
      <c r="X16" s="715" t="s">
        <v>117</v>
      </c>
      <c r="Y16" s="716"/>
      <c r="Z16" s="716"/>
      <c r="AA16" s="716"/>
      <c r="AB16" s="716"/>
      <c r="AC16" s="88"/>
      <c r="AD16" s="725"/>
      <c r="AE16" s="726"/>
      <c r="AF16" s="727"/>
      <c r="AG16" s="725"/>
      <c r="AH16" s="726"/>
      <c r="AI16" s="727"/>
      <c r="AJ16" s="715" t="s">
        <v>117</v>
      </c>
      <c r="AK16" s="716"/>
      <c r="AL16" s="724"/>
      <c r="AM16" s="715" t="s">
        <v>117</v>
      </c>
      <c r="AN16" s="716"/>
      <c r="AO16" s="716"/>
      <c r="AP16" s="734"/>
      <c r="AQ16" s="497" t="s">
        <v>118</v>
      </c>
    </row>
    <row r="17" spans="1:43" ht="12.75" x14ac:dyDescent="0.2">
      <c r="A17" s="51" t="s">
        <v>119</v>
      </c>
      <c r="B17" s="499"/>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89"/>
      <c r="AD17" s="39"/>
      <c r="AE17" s="39"/>
      <c r="AF17" s="39"/>
      <c r="AG17" s="39"/>
      <c r="AH17" s="39"/>
      <c r="AI17" s="39"/>
      <c r="AJ17" s="39"/>
      <c r="AK17" s="39"/>
      <c r="AL17" s="39"/>
      <c r="AM17" s="39"/>
      <c r="AN17" s="39"/>
      <c r="AO17" s="39"/>
      <c r="AP17" s="90"/>
      <c r="AQ17" s="40"/>
    </row>
    <row r="18" spans="1:43" s="52" customFormat="1" x14ac:dyDescent="0.2">
      <c r="A18" s="501" t="s">
        <v>120</v>
      </c>
      <c r="B18" s="502">
        <f>MIN(B77,80)</f>
        <v>5</v>
      </c>
      <c r="C18" s="502">
        <f t="shared" ref="C18:AB18" si="0">MIN(C77,80)</f>
        <v>5</v>
      </c>
      <c r="D18" s="502">
        <f t="shared" si="0"/>
        <v>5</v>
      </c>
      <c r="E18" s="502">
        <f t="shared" si="0"/>
        <v>5</v>
      </c>
      <c r="F18" s="502">
        <f t="shared" si="0"/>
        <v>5</v>
      </c>
      <c r="G18" s="502">
        <f t="shared" si="0"/>
        <v>5</v>
      </c>
      <c r="H18" s="502">
        <f t="shared" si="0"/>
        <v>5</v>
      </c>
      <c r="I18" s="502">
        <f t="shared" si="0"/>
        <v>20</v>
      </c>
      <c r="J18" s="502">
        <f t="shared" si="0"/>
        <v>42</v>
      </c>
      <c r="K18" s="502">
        <f t="shared" si="0"/>
        <v>60</v>
      </c>
      <c r="L18" s="502">
        <f t="shared" si="0"/>
        <v>70</v>
      </c>
      <c r="M18" s="502">
        <f t="shared" si="0"/>
        <v>70</v>
      </c>
      <c r="N18" s="502">
        <f t="shared" si="0"/>
        <v>80</v>
      </c>
      <c r="O18" s="502">
        <f t="shared" si="0"/>
        <v>80</v>
      </c>
      <c r="P18" s="502">
        <f t="shared" si="0"/>
        <v>80</v>
      </c>
      <c r="Q18" s="502">
        <f t="shared" si="0"/>
        <v>80</v>
      </c>
      <c r="R18" s="502">
        <f t="shared" si="0"/>
        <v>80</v>
      </c>
      <c r="S18" s="502">
        <f t="shared" si="0"/>
        <v>80</v>
      </c>
      <c r="T18" s="502">
        <f t="shared" si="0"/>
        <v>80</v>
      </c>
      <c r="U18" s="502">
        <f t="shared" si="0"/>
        <v>80</v>
      </c>
      <c r="V18" s="502">
        <f t="shared" si="0"/>
        <v>80</v>
      </c>
      <c r="W18" s="502">
        <f t="shared" si="0"/>
        <v>80</v>
      </c>
      <c r="X18" s="502">
        <f t="shared" si="0"/>
        <v>80</v>
      </c>
      <c r="Y18" s="502">
        <f t="shared" si="0"/>
        <v>80</v>
      </c>
      <c r="Z18" s="502">
        <f t="shared" si="0"/>
        <v>80</v>
      </c>
      <c r="AA18" s="502">
        <f t="shared" si="0"/>
        <v>80</v>
      </c>
      <c r="AB18" s="503">
        <f t="shared" si="0"/>
        <v>80</v>
      </c>
      <c r="AC18" s="91">
        <f>G18</f>
        <v>5</v>
      </c>
      <c r="AD18" s="504">
        <f t="shared" ref="AD18:AL18" si="1">H18</f>
        <v>5</v>
      </c>
      <c r="AE18" s="504">
        <f t="shared" si="1"/>
        <v>20</v>
      </c>
      <c r="AF18" s="504">
        <f t="shared" si="1"/>
        <v>42</v>
      </c>
      <c r="AG18" s="504">
        <f t="shared" si="1"/>
        <v>60</v>
      </c>
      <c r="AH18" s="504">
        <f t="shared" si="1"/>
        <v>70</v>
      </c>
      <c r="AI18" s="504">
        <f t="shared" si="1"/>
        <v>70</v>
      </c>
      <c r="AJ18" s="504">
        <f t="shared" si="1"/>
        <v>80</v>
      </c>
      <c r="AK18" s="504">
        <f t="shared" si="1"/>
        <v>80</v>
      </c>
      <c r="AL18" s="504">
        <f t="shared" si="1"/>
        <v>80</v>
      </c>
      <c r="AM18" s="504">
        <f>Y18</f>
        <v>80</v>
      </c>
      <c r="AN18" s="504">
        <f t="shared" ref="AN18:AP18" si="2">Z18</f>
        <v>80</v>
      </c>
      <c r="AO18" s="504">
        <f t="shared" si="2"/>
        <v>80</v>
      </c>
      <c r="AP18" s="505">
        <f t="shared" si="2"/>
        <v>80</v>
      </c>
      <c r="AQ18" s="506">
        <f>MIN(AQ78,80)</f>
        <v>18.616566771031298</v>
      </c>
    </row>
    <row r="19" spans="1:43" x14ac:dyDescent="0.2">
      <c r="A19" s="507" t="s">
        <v>121</v>
      </c>
      <c r="B19" s="508">
        <v>0.5</v>
      </c>
      <c r="C19" s="508">
        <v>0.5</v>
      </c>
      <c r="D19" s="508">
        <v>0.5</v>
      </c>
      <c r="E19" s="508">
        <v>0.5</v>
      </c>
      <c r="F19" s="508">
        <v>0.5</v>
      </c>
      <c r="G19" s="508">
        <v>0.5</v>
      </c>
      <c r="H19" s="508">
        <v>0.55000000000000004</v>
      </c>
      <c r="I19" s="508">
        <v>0.6</v>
      </c>
      <c r="J19" s="508">
        <v>0.65</v>
      </c>
      <c r="K19" s="508">
        <v>0.7</v>
      </c>
      <c r="L19" s="508">
        <v>0.7</v>
      </c>
      <c r="M19" s="508">
        <v>0.7</v>
      </c>
      <c r="N19" s="508">
        <v>0.7</v>
      </c>
      <c r="O19" s="508">
        <v>0.7</v>
      </c>
      <c r="P19" s="508">
        <v>0.7</v>
      </c>
      <c r="Q19" s="508">
        <v>0.4</v>
      </c>
      <c r="R19" s="508">
        <v>0.8</v>
      </c>
      <c r="S19" s="508">
        <v>0.8</v>
      </c>
      <c r="T19" s="508">
        <v>0.8</v>
      </c>
      <c r="U19" s="508">
        <v>0.8</v>
      </c>
      <c r="V19" s="508">
        <v>0.8</v>
      </c>
      <c r="W19" s="508">
        <v>0.7</v>
      </c>
      <c r="X19" s="508">
        <v>0.4</v>
      </c>
      <c r="Y19" s="508">
        <v>0.6</v>
      </c>
      <c r="Z19" s="508">
        <v>0.6</v>
      </c>
      <c r="AA19" s="508">
        <v>0.6</v>
      </c>
      <c r="AB19" s="509">
        <v>0.6</v>
      </c>
      <c r="AC19" s="92">
        <v>0.5</v>
      </c>
      <c r="AD19" s="508">
        <v>0.55000000000000004</v>
      </c>
      <c r="AE19" s="508">
        <v>0.6</v>
      </c>
      <c r="AF19" s="508">
        <v>0.65</v>
      </c>
      <c r="AG19" s="508">
        <v>0.7</v>
      </c>
      <c r="AH19" s="508">
        <v>0.7</v>
      </c>
      <c r="AI19" s="508">
        <v>0.7</v>
      </c>
      <c r="AJ19" s="508">
        <v>0.7</v>
      </c>
      <c r="AK19" s="508">
        <v>0.7</v>
      </c>
      <c r="AL19" s="508">
        <v>0.7</v>
      </c>
      <c r="AM19" s="508">
        <v>0.6</v>
      </c>
      <c r="AN19" s="508">
        <v>0.6</v>
      </c>
      <c r="AO19" s="508">
        <v>0.6</v>
      </c>
      <c r="AP19" s="510">
        <v>0.6</v>
      </c>
      <c r="AQ19" s="511">
        <v>0.4</v>
      </c>
    </row>
    <row r="20" spans="1:43" x14ac:dyDescent="0.2">
      <c r="A20" s="512" t="s">
        <v>122</v>
      </c>
      <c r="B20" s="509"/>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240"/>
      <c r="AD20" s="513"/>
      <c r="AE20" s="513"/>
      <c r="AF20" s="513"/>
      <c r="AG20" s="513"/>
      <c r="AH20" s="513"/>
      <c r="AI20" s="513"/>
      <c r="AJ20" s="513"/>
      <c r="AK20" s="513"/>
      <c r="AL20" s="513"/>
      <c r="AM20" s="513"/>
      <c r="AN20" s="513"/>
      <c r="AO20" s="513"/>
      <c r="AP20" s="514"/>
      <c r="AQ20" s="511"/>
    </row>
    <row r="21" spans="1:43" s="16" customFormat="1" x14ac:dyDescent="0.2">
      <c r="A21" s="515" t="s">
        <v>123</v>
      </c>
      <c r="B21" s="516">
        <f t="shared" ref="B21:AP21" si="3">B19*$B$8</f>
        <v>126</v>
      </c>
      <c r="C21" s="516">
        <f t="shared" si="3"/>
        <v>126</v>
      </c>
      <c r="D21" s="516">
        <f t="shared" si="3"/>
        <v>126</v>
      </c>
      <c r="E21" s="516">
        <f t="shared" si="3"/>
        <v>126</v>
      </c>
      <c r="F21" s="516">
        <f t="shared" si="3"/>
        <v>126</v>
      </c>
      <c r="G21" s="516">
        <f t="shared" si="3"/>
        <v>126</v>
      </c>
      <c r="H21" s="516">
        <f t="shared" si="3"/>
        <v>138.60000000000002</v>
      </c>
      <c r="I21" s="516">
        <f t="shared" si="3"/>
        <v>151.19999999999999</v>
      </c>
      <c r="J21" s="516">
        <f t="shared" si="3"/>
        <v>163.80000000000001</v>
      </c>
      <c r="K21" s="516">
        <f t="shared" si="3"/>
        <v>176.39999999999998</v>
      </c>
      <c r="L21" s="516">
        <f t="shared" si="3"/>
        <v>176.39999999999998</v>
      </c>
      <c r="M21" s="516">
        <f t="shared" si="3"/>
        <v>176.39999999999998</v>
      </c>
      <c r="N21" s="516">
        <f t="shared" si="3"/>
        <v>176.39999999999998</v>
      </c>
      <c r="O21" s="516">
        <f t="shared" si="3"/>
        <v>176.39999999999998</v>
      </c>
      <c r="P21" s="516">
        <f t="shared" si="3"/>
        <v>176.39999999999998</v>
      </c>
      <c r="Q21" s="516">
        <f t="shared" si="3"/>
        <v>100.80000000000001</v>
      </c>
      <c r="R21" s="516">
        <f t="shared" si="3"/>
        <v>201.60000000000002</v>
      </c>
      <c r="S21" s="516">
        <f t="shared" si="3"/>
        <v>201.60000000000002</v>
      </c>
      <c r="T21" s="516">
        <f t="shared" si="3"/>
        <v>201.60000000000002</v>
      </c>
      <c r="U21" s="516">
        <f t="shared" si="3"/>
        <v>201.60000000000002</v>
      </c>
      <c r="V21" s="516">
        <f t="shared" si="3"/>
        <v>201.60000000000002</v>
      </c>
      <c r="W21" s="516">
        <f t="shared" si="3"/>
        <v>176.39999999999998</v>
      </c>
      <c r="X21" s="516">
        <f t="shared" si="3"/>
        <v>100.80000000000001</v>
      </c>
      <c r="Y21" s="516">
        <f t="shared" si="3"/>
        <v>151.19999999999999</v>
      </c>
      <c r="Z21" s="516">
        <f t="shared" si="3"/>
        <v>151.19999999999999</v>
      </c>
      <c r="AA21" s="516">
        <f t="shared" si="3"/>
        <v>151.19999999999999</v>
      </c>
      <c r="AB21" s="517">
        <f t="shared" si="3"/>
        <v>151.19999999999999</v>
      </c>
      <c r="AC21" s="105">
        <f t="shared" si="3"/>
        <v>126</v>
      </c>
      <c r="AD21" s="517">
        <f t="shared" si="3"/>
        <v>138.60000000000002</v>
      </c>
      <c r="AE21" s="517">
        <f t="shared" si="3"/>
        <v>151.19999999999999</v>
      </c>
      <c r="AF21" s="517">
        <f t="shared" si="3"/>
        <v>163.80000000000001</v>
      </c>
      <c r="AG21" s="517">
        <f t="shared" si="3"/>
        <v>176.39999999999998</v>
      </c>
      <c r="AH21" s="517">
        <f t="shared" si="3"/>
        <v>176.39999999999998</v>
      </c>
      <c r="AI21" s="517">
        <f t="shared" si="3"/>
        <v>176.39999999999998</v>
      </c>
      <c r="AJ21" s="517">
        <f t="shared" si="3"/>
        <v>176.39999999999998</v>
      </c>
      <c r="AK21" s="517">
        <f t="shared" si="3"/>
        <v>176.39999999999998</v>
      </c>
      <c r="AL21" s="517">
        <f t="shared" si="3"/>
        <v>176.39999999999998</v>
      </c>
      <c r="AM21" s="517">
        <f t="shared" si="3"/>
        <v>151.19999999999999</v>
      </c>
      <c r="AN21" s="517">
        <f t="shared" si="3"/>
        <v>151.19999999999999</v>
      </c>
      <c r="AO21" s="517">
        <f t="shared" si="3"/>
        <v>151.19999999999999</v>
      </c>
      <c r="AP21" s="518">
        <f t="shared" si="3"/>
        <v>151.19999999999999</v>
      </c>
      <c r="AQ21" s="519">
        <f>AQ19*$B$8</f>
        <v>100.80000000000001</v>
      </c>
    </row>
    <row r="22" spans="1:43" s="17" customFormat="1" x14ac:dyDescent="0.2">
      <c r="A22" s="515" t="s">
        <v>124</v>
      </c>
      <c r="B22" s="520">
        <f t="shared" ref="B22:AQ22" si="4">B21*$B$5</f>
        <v>252</v>
      </c>
      <c r="C22" s="520">
        <f t="shared" si="4"/>
        <v>252</v>
      </c>
      <c r="D22" s="520">
        <f t="shared" si="4"/>
        <v>252</v>
      </c>
      <c r="E22" s="520">
        <f t="shared" si="4"/>
        <v>252</v>
      </c>
      <c r="F22" s="520">
        <f t="shared" si="4"/>
        <v>252</v>
      </c>
      <c r="G22" s="520">
        <f t="shared" si="4"/>
        <v>252</v>
      </c>
      <c r="H22" s="520">
        <f t="shared" si="4"/>
        <v>277.20000000000005</v>
      </c>
      <c r="I22" s="520">
        <f t="shared" si="4"/>
        <v>302.39999999999998</v>
      </c>
      <c r="J22" s="520">
        <f t="shared" si="4"/>
        <v>327.60000000000002</v>
      </c>
      <c r="K22" s="520">
        <f t="shared" si="4"/>
        <v>352.79999999999995</v>
      </c>
      <c r="L22" s="520">
        <f t="shared" si="4"/>
        <v>352.79999999999995</v>
      </c>
      <c r="M22" s="520">
        <f t="shared" si="4"/>
        <v>352.79999999999995</v>
      </c>
      <c r="N22" s="520">
        <f t="shared" si="4"/>
        <v>352.79999999999995</v>
      </c>
      <c r="O22" s="520">
        <f t="shared" si="4"/>
        <v>352.79999999999995</v>
      </c>
      <c r="P22" s="520">
        <f t="shared" si="4"/>
        <v>352.79999999999995</v>
      </c>
      <c r="Q22" s="520">
        <f t="shared" si="4"/>
        <v>201.60000000000002</v>
      </c>
      <c r="R22" s="520">
        <f t="shared" si="4"/>
        <v>403.20000000000005</v>
      </c>
      <c r="S22" s="520">
        <f t="shared" si="4"/>
        <v>403.20000000000005</v>
      </c>
      <c r="T22" s="520">
        <f t="shared" si="4"/>
        <v>403.20000000000005</v>
      </c>
      <c r="U22" s="520">
        <f t="shared" si="4"/>
        <v>403.20000000000005</v>
      </c>
      <c r="V22" s="520">
        <f t="shared" si="4"/>
        <v>403.20000000000005</v>
      </c>
      <c r="W22" s="520">
        <f t="shared" si="4"/>
        <v>352.79999999999995</v>
      </c>
      <c r="X22" s="520">
        <f t="shared" si="4"/>
        <v>201.60000000000002</v>
      </c>
      <c r="Y22" s="520">
        <f t="shared" si="4"/>
        <v>302.39999999999998</v>
      </c>
      <c r="Z22" s="520">
        <f t="shared" si="4"/>
        <v>302.39999999999998</v>
      </c>
      <c r="AA22" s="520">
        <f t="shared" si="4"/>
        <v>302.39999999999998</v>
      </c>
      <c r="AB22" s="521">
        <f t="shared" si="4"/>
        <v>302.39999999999998</v>
      </c>
      <c r="AC22" s="106">
        <f t="shared" si="4"/>
        <v>252</v>
      </c>
      <c r="AD22" s="521">
        <f t="shared" si="4"/>
        <v>277.20000000000005</v>
      </c>
      <c r="AE22" s="521">
        <f t="shared" si="4"/>
        <v>302.39999999999998</v>
      </c>
      <c r="AF22" s="521">
        <f t="shared" si="4"/>
        <v>327.60000000000002</v>
      </c>
      <c r="AG22" s="521">
        <f t="shared" si="4"/>
        <v>352.79999999999995</v>
      </c>
      <c r="AH22" s="521">
        <f t="shared" si="4"/>
        <v>352.79999999999995</v>
      </c>
      <c r="AI22" s="521">
        <f t="shared" si="4"/>
        <v>352.79999999999995</v>
      </c>
      <c r="AJ22" s="521">
        <f t="shared" si="4"/>
        <v>352.79999999999995</v>
      </c>
      <c r="AK22" s="521">
        <f t="shared" si="4"/>
        <v>352.79999999999995</v>
      </c>
      <c r="AL22" s="521">
        <f t="shared" si="4"/>
        <v>352.79999999999995</v>
      </c>
      <c r="AM22" s="521">
        <f t="shared" si="4"/>
        <v>302.39999999999998</v>
      </c>
      <c r="AN22" s="521">
        <f t="shared" si="4"/>
        <v>302.39999999999998</v>
      </c>
      <c r="AO22" s="521">
        <f t="shared" si="4"/>
        <v>302.39999999999998</v>
      </c>
      <c r="AP22" s="522">
        <f t="shared" si="4"/>
        <v>302.39999999999998</v>
      </c>
      <c r="AQ22" s="523">
        <f t="shared" si="4"/>
        <v>201.60000000000002</v>
      </c>
    </row>
    <row r="23" spans="1:43" s="17" customFormat="1" x14ac:dyDescent="0.2">
      <c r="A23" s="515" t="s">
        <v>125</v>
      </c>
      <c r="B23" s="524">
        <f>$B$9</f>
        <v>18</v>
      </c>
      <c r="C23" s="524">
        <f t="shared" ref="C23:AQ23" si="5">$B$9</f>
        <v>18</v>
      </c>
      <c r="D23" s="524">
        <f t="shared" si="5"/>
        <v>18</v>
      </c>
      <c r="E23" s="524">
        <f t="shared" si="5"/>
        <v>18</v>
      </c>
      <c r="F23" s="524">
        <f t="shared" si="5"/>
        <v>18</v>
      </c>
      <c r="G23" s="524">
        <f t="shared" si="5"/>
        <v>18</v>
      </c>
      <c r="H23" s="524">
        <f t="shared" si="5"/>
        <v>18</v>
      </c>
      <c r="I23" s="524">
        <f t="shared" si="5"/>
        <v>18</v>
      </c>
      <c r="J23" s="524">
        <f t="shared" si="5"/>
        <v>18</v>
      </c>
      <c r="K23" s="524">
        <f t="shared" si="5"/>
        <v>18</v>
      </c>
      <c r="L23" s="524">
        <f t="shared" si="5"/>
        <v>18</v>
      </c>
      <c r="M23" s="524">
        <f t="shared" si="5"/>
        <v>18</v>
      </c>
      <c r="N23" s="524">
        <f t="shared" si="5"/>
        <v>18</v>
      </c>
      <c r="O23" s="524">
        <f t="shared" si="5"/>
        <v>18</v>
      </c>
      <c r="P23" s="524">
        <f t="shared" si="5"/>
        <v>18</v>
      </c>
      <c r="Q23" s="524">
        <f t="shared" si="5"/>
        <v>18</v>
      </c>
      <c r="R23" s="524">
        <f t="shared" si="5"/>
        <v>18</v>
      </c>
      <c r="S23" s="524">
        <f t="shared" si="5"/>
        <v>18</v>
      </c>
      <c r="T23" s="524">
        <f t="shared" si="5"/>
        <v>18</v>
      </c>
      <c r="U23" s="524">
        <f t="shared" si="5"/>
        <v>18</v>
      </c>
      <c r="V23" s="524">
        <f t="shared" si="5"/>
        <v>18</v>
      </c>
      <c r="W23" s="524">
        <f t="shared" si="5"/>
        <v>18</v>
      </c>
      <c r="X23" s="524">
        <f t="shared" si="5"/>
        <v>18</v>
      </c>
      <c r="Y23" s="524">
        <f t="shared" si="5"/>
        <v>18</v>
      </c>
      <c r="Z23" s="524">
        <f t="shared" si="5"/>
        <v>18</v>
      </c>
      <c r="AA23" s="524">
        <f t="shared" si="5"/>
        <v>18</v>
      </c>
      <c r="AB23" s="525">
        <f t="shared" si="5"/>
        <v>18</v>
      </c>
      <c r="AC23" s="107">
        <f t="shared" si="5"/>
        <v>18</v>
      </c>
      <c r="AD23" s="525">
        <f t="shared" si="5"/>
        <v>18</v>
      </c>
      <c r="AE23" s="525">
        <f t="shared" si="5"/>
        <v>18</v>
      </c>
      <c r="AF23" s="525">
        <f t="shared" si="5"/>
        <v>18</v>
      </c>
      <c r="AG23" s="525">
        <f t="shared" si="5"/>
        <v>18</v>
      </c>
      <c r="AH23" s="525">
        <f t="shared" si="5"/>
        <v>18</v>
      </c>
      <c r="AI23" s="525">
        <f t="shared" si="5"/>
        <v>18</v>
      </c>
      <c r="AJ23" s="525">
        <f t="shared" si="5"/>
        <v>18</v>
      </c>
      <c r="AK23" s="525">
        <f t="shared" si="5"/>
        <v>18</v>
      </c>
      <c r="AL23" s="525">
        <f t="shared" si="5"/>
        <v>18</v>
      </c>
      <c r="AM23" s="525">
        <f t="shared" si="5"/>
        <v>18</v>
      </c>
      <c r="AN23" s="525">
        <f t="shared" si="5"/>
        <v>18</v>
      </c>
      <c r="AO23" s="525">
        <f t="shared" si="5"/>
        <v>18</v>
      </c>
      <c r="AP23" s="526">
        <f t="shared" si="5"/>
        <v>18</v>
      </c>
      <c r="AQ23" s="527">
        <f t="shared" si="5"/>
        <v>18</v>
      </c>
    </row>
    <row r="24" spans="1:43" s="17" customFormat="1" x14ac:dyDescent="0.2">
      <c r="A24" s="515" t="s">
        <v>126</v>
      </c>
      <c r="B24" s="524">
        <f t="shared" ref="B24:AQ24" si="6">IF(ISBLANK(B102),0,$B$10)</f>
        <v>0</v>
      </c>
      <c r="C24" s="524">
        <f t="shared" si="6"/>
        <v>0</v>
      </c>
      <c r="D24" s="524">
        <f t="shared" si="6"/>
        <v>0</v>
      </c>
      <c r="E24" s="524">
        <f t="shared" si="6"/>
        <v>0</v>
      </c>
      <c r="F24" s="524">
        <f t="shared" si="6"/>
        <v>0</v>
      </c>
      <c r="G24" s="524">
        <f t="shared" si="6"/>
        <v>0</v>
      </c>
      <c r="H24" s="524">
        <f t="shared" si="6"/>
        <v>0</v>
      </c>
      <c r="I24" s="524">
        <f t="shared" si="6"/>
        <v>0</v>
      </c>
      <c r="J24" s="524">
        <f t="shared" si="6"/>
        <v>0</v>
      </c>
      <c r="K24" s="524">
        <f t="shared" si="6"/>
        <v>0</v>
      </c>
      <c r="L24" s="524">
        <f t="shared" si="6"/>
        <v>0</v>
      </c>
      <c r="M24" s="524">
        <f t="shared" si="6"/>
        <v>0</v>
      </c>
      <c r="N24" s="524">
        <f t="shared" si="6"/>
        <v>0</v>
      </c>
      <c r="O24" s="524">
        <f t="shared" si="6"/>
        <v>0</v>
      </c>
      <c r="P24" s="524">
        <f t="shared" si="6"/>
        <v>0</v>
      </c>
      <c r="Q24" s="524">
        <f t="shared" si="6"/>
        <v>0</v>
      </c>
      <c r="R24" s="524">
        <f t="shared" si="6"/>
        <v>265.68</v>
      </c>
      <c r="S24" s="524">
        <f t="shared" si="6"/>
        <v>265.68</v>
      </c>
      <c r="T24" s="524">
        <f t="shared" si="6"/>
        <v>265.68</v>
      </c>
      <c r="U24" s="524">
        <f t="shared" si="6"/>
        <v>265.68</v>
      </c>
      <c r="V24" s="524">
        <f t="shared" si="6"/>
        <v>265.68</v>
      </c>
      <c r="W24" s="524">
        <f t="shared" si="6"/>
        <v>265.68</v>
      </c>
      <c r="X24" s="524">
        <f t="shared" si="6"/>
        <v>0</v>
      </c>
      <c r="Y24" s="524">
        <f t="shared" si="6"/>
        <v>0</v>
      </c>
      <c r="Z24" s="524">
        <f t="shared" si="6"/>
        <v>0</v>
      </c>
      <c r="AA24" s="524">
        <f t="shared" si="6"/>
        <v>0</v>
      </c>
      <c r="AB24" s="525">
        <f t="shared" si="6"/>
        <v>0</v>
      </c>
      <c r="AC24" s="107">
        <f t="shared" si="6"/>
        <v>265.68</v>
      </c>
      <c r="AD24" s="525">
        <f t="shared" si="6"/>
        <v>265.68</v>
      </c>
      <c r="AE24" s="525">
        <f t="shared" si="6"/>
        <v>265.68</v>
      </c>
      <c r="AF24" s="525">
        <f t="shared" si="6"/>
        <v>265.68</v>
      </c>
      <c r="AG24" s="525">
        <f t="shared" si="6"/>
        <v>265.68</v>
      </c>
      <c r="AH24" s="525">
        <f t="shared" si="6"/>
        <v>265.68</v>
      </c>
      <c r="AI24" s="525">
        <f t="shared" si="6"/>
        <v>265.68</v>
      </c>
      <c r="AJ24" s="525">
        <f t="shared" si="6"/>
        <v>265.68</v>
      </c>
      <c r="AK24" s="525">
        <f t="shared" si="6"/>
        <v>265.68</v>
      </c>
      <c r="AL24" s="525">
        <f t="shared" si="6"/>
        <v>265.68</v>
      </c>
      <c r="AM24" s="525">
        <f t="shared" si="6"/>
        <v>265.68</v>
      </c>
      <c r="AN24" s="525">
        <f t="shared" si="6"/>
        <v>265.68</v>
      </c>
      <c r="AO24" s="525">
        <f t="shared" si="6"/>
        <v>265.68</v>
      </c>
      <c r="AP24" s="526">
        <f t="shared" si="6"/>
        <v>265.68</v>
      </c>
      <c r="AQ24" s="527">
        <f t="shared" si="6"/>
        <v>0</v>
      </c>
    </row>
    <row r="25" spans="1:43" s="17" customFormat="1" x14ac:dyDescent="0.2">
      <c r="A25" s="515" t="s">
        <v>127</v>
      </c>
      <c r="B25" s="520">
        <f>B21*$B$5+SUM(B23:B24)</f>
        <v>270</v>
      </c>
      <c r="C25" s="520">
        <f t="shared" ref="C25:AP25" si="7">C21*$B$5+SUM(C23:C24)</f>
        <v>270</v>
      </c>
      <c r="D25" s="520">
        <f t="shared" si="7"/>
        <v>270</v>
      </c>
      <c r="E25" s="520">
        <f t="shared" si="7"/>
        <v>270</v>
      </c>
      <c r="F25" s="520">
        <f t="shared" si="7"/>
        <v>270</v>
      </c>
      <c r="G25" s="520">
        <f t="shared" si="7"/>
        <v>270</v>
      </c>
      <c r="H25" s="520">
        <f t="shared" si="7"/>
        <v>295.20000000000005</v>
      </c>
      <c r="I25" s="520">
        <f t="shared" si="7"/>
        <v>320.39999999999998</v>
      </c>
      <c r="J25" s="520">
        <f t="shared" si="7"/>
        <v>345.6</v>
      </c>
      <c r="K25" s="520">
        <f t="shared" si="7"/>
        <v>370.79999999999995</v>
      </c>
      <c r="L25" s="520">
        <f t="shared" si="7"/>
        <v>370.79999999999995</v>
      </c>
      <c r="M25" s="520">
        <f t="shared" si="7"/>
        <v>370.79999999999995</v>
      </c>
      <c r="N25" s="520">
        <f t="shared" si="7"/>
        <v>370.79999999999995</v>
      </c>
      <c r="O25" s="520">
        <f t="shared" si="7"/>
        <v>370.79999999999995</v>
      </c>
      <c r="P25" s="520">
        <f t="shared" si="7"/>
        <v>370.79999999999995</v>
      </c>
      <c r="Q25" s="520">
        <f t="shared" si="7"/>
        <v>219.60000000000002</v>
      </c>
      <c r="R25" s="520">
        <f t="shared" si="7"/>
        <v>686.88000000000011</v>
      </c>
      <c r="S25" s="520">
        <f t="shared" si="7"/>
        <v>686.88000000000011</v>
      </c>
      <c r="T25" s="520">
        <f t="shared" si="7"/>
        <v>686.88000000000011</v>
      </c>
      <c r="U25" s="520">
        <f t="shared" si="7"/>
        <v>686.88000000000011</v>
      </c>
      <c r="V25" s="520">
        <f t="shared" si="7"/>
        <v>686.88000000000011</v>
      </c>
      <c r="W25" s="520">
        <f t="shared" si="7"/>
        <v>636.48</v>
      </c>
      <c r="X25" s="520">
        <f t="shared" si="7"/>
        <v>219.60000000000002</v>
      </c>
      <c r="Y25" s="520">
        <f t="shared" si="7"/>
        <v>320.39999999999998</v>
      </c>
      <c r="Z25" s="520">
        <f t="shared" si="7"/>
        <v>320.39999999999998</v>
      </c>
      <c r="AA25" s="520">
        <f t="shared" si="7"/>
        <v>320.39999999999998</v>
      </c>
      <c r="AB25" s="521">
        <f t="shared" si="7"/>
        <v>320.39999999999998</v>
      </c>
      <c r="AC25" s="106">
        <f t="shared" si="7"/>
        <v>535.68000000000006</v>
      </c>
      <c r="AD25" s="521">
        <f t="shared" si="7"/>
        <v>560.88000000000011</v>
      </c>
      <c r="AE25" s="521">
        <f t="shared" si="7"/>
        <v>586.07999999999993</v>
      </c>
      <c r="AF25" s="521">
        <f t="shared" si="7"/>
        <v>611.28</v>
      </c>
      <c r="AG25" s="521">
        <f t="shared" si="7"/>
        <v>636.48</v>
      </c>
      <c r="AH25" s="521">
        <f t="shared" si="7"/>
        <v>636.48</v>
      </c>
      <c r="AI25" s="521">
        <f t="shared" si="7"/>
        <v>636.48</v>
      </c>
      <c r="AJ25" s="521">
        <f t="shared" si="7"/>
        <v>636.48</v>
      </c>
      <c r="AK25" s="521">
        <f t="shared" si="7"/>
        <v>636.48</v>
      </c>
      <c r="AL25" s="521">
        <f t="shared" si="7"/>
        <v>636.48</v>
      </c>
      <c r="AM25" s="521">
        <f t="shared" si="7"/>
        <v>586.07999999999993</v>
      </c>
      <c r="AN25" s="521">
        <f t="shared" si="7"/>
        <v>586.07999999999993</v>
      </c>
      <c r="AO25" s="521">
        <f t="shared" si="7"/>
        <v>586.07999999999993</v>
      </c>
      <c r="AP25" s="522">
        <f t="shared" si="7"/>
        <v>586.07999999999993</v>
      </c>
      <c r="AQ25" s="523">
        <f t="shared" ref="AQ25" si="8">AQ21*$B$5+SUM(AQ23:AQ24)</f>
        <v>219.60000000000002</v>
      </c>
    </row>
    <row r="26" spans="1:43" s="17" customFormat="1" x14ac:dyDescent="0.2">
      <c r="A26" s="18" t="s">
        <v>128</v>
      </c>
      <c r="B26" s="19">
        <f t="shared" ref="B26:AQ26" si="9">-IF(ISBLANK(B101),0,MIN(B$22*$H$10,B$22-$B$7*$H$9))</f>
        <v>-50.399999999999977</v>
      </c>
      <c r="C26" s="19">
        <f t="shared" si="9"/>
        <v>-50.399999999999977</v>
      </c>
      <c r="D26" s="19">
        <f t="shared" si="9"/>
        <v>-50.399999999999977</v>
      </c>
      <c r="E26" s="19">
        <f t="shared" si="9"/>
        <v>0</v>
      </c>
      <c r="F26" s="19">
        <f t="shared" si="9"/>
        <v>-50.399999999999977</v>
      </c>
      <c r="G26" s="19">
        <f t="shared" si="9"/>
        <v>-50.399999999999977</v>
      </c>
      <c r="H26" s="19">
        <f t="shared" si="9"/>
        <v>-75.600000000000023</v>
      </c>
      <c r="I26" s="19">
        <f t="shared" si="9"/>
        <v>-86.788799999999981</v>
      </c>
      <c r="J26" s="19">
        <f t="shared" si="9"/>
        <v>0</v>
      </c>
      <c r="K26" s="19">
        <f t="shared" si="9"/>
        <v>0</v>
      </c>
      <c r="L26" s="19">
        <f t="shared" si="9"/>
        <v>0</v>
      </c>
      <c r="M26" s="19">
        <f t="shared" si="9"/>
        <v>0</v>
      </c>
      <c r="N26" s="19">
        <f t="shared" si="9"/>
        <v>-101.25359999999998</v>
      </c>
      <c r="O26" s="19">
        <f t="shared" si="9"/>
        <v>-101.25359999999998</v>
      </c>
      <c r="P26" s="19">
        <f t="shared" si="9"/>
        <v>0</v>
      </c>
      <c r="Q26" s="19">
        <f t="shared" si="9"/>
        <v>0</v>
      </c>
      <c r="R26" s="19">
        <f t="shared" si="9"/>
        <v>0</v>
      </c>
      <c r="S26" s="19">
        <f t="shared" si="9"/>
        <v>0</v>
      </c>
      <c r="T26" s="19">
        <f t="shared" si="9"/>
        <v>0</v>
      </c>
      <c r="U26" s="19">
        <f t="shared" si="9"/>
        <v>0</v>
      </c>
      <c r="V26" s="19">
        <f t="shared" si="9"/>
        <v>0</v>
      </c>
      <c r="W26" s="19">
        <f t="shared" si="9"/>
        <v>0</v>
      </c>
      <c r="X26" s="19">
        <f t="shared" si="9"/>
        <v>0</v>
      </c>
      <c r="Y26" s="19">
        <f t="shared" si="9"/>
        <v>-86.788799999999981</v>
      </c>
      <c r="Z26" s="19">
        <f t="shared" si="9"/>
        <v>-86.788799999999981</v>
      </c>
      <c r="AA26" s="19">
        <f t="shared" si="9"/>
        <v>-86.788799999999981</v>
      </c>
      <c r="AB26" s="84">
        <f t="shared" si="9"/>
        <v>-86.788799999999981</v>
      </c>
      <c r="AC26" s="108">
        <f t="shared" si="9"/>
        <v>0</v>
      </c>
      <c r="AD26" s="84">
        <f t="shared" si="9"/>
        <v>0</v>
      </c>
      <c r="AE26" s="84">
        <f t="shared" si="9"/>
        <v>0</v>
      </c>
      <c r="AF26" s="84">
        <f t="shared" si="9"/>
        <v>0</v>
      </c>
      <c r="AG26" s="84">
        <f t="shared" si="9"/>
        <v>0</v>
      </c>
      <c r="AH26" s="84">
        <f t="shared" si="9"/>
        <v>0</v>
      </c>
      <c r="AI26" s="84">
        <f t="shared" si="9"/>
        <v>0</v>
      </c>
      <c r="AJ26" s="84">
        <f t="shared" si="9"/>
        <v>0</v>
      </c>
      <c r="AK26" s="84">
        <f t="shared" si="9"/>
        <v>0</v>
      </c>
      <c r="AL26" s="84">
        <f t="shared" si="9"/>
        <v>0</v>
      </c>
      <c r="AM26" s="84">
        <f t="shared" si="9"/>
        <v>0</v>
      </c>
      <c r="AN26" s="84">
        <f t="shared" si="9"/>
        <v>0</v>
      </c>
      <c r="AO26" s="84">
        <f t="shared" si="9"/>
        <v>0</v>
      </c>
      <c r="AP26" s="109">
        <f t="shared" si="9"/>
        <v>0</v>
      </c>
      <c r="AQ26" s="117">
        <f t="shared" si="9"/>
        <v>0</v>
      </c>
    </row>
    <row r="27" spans="1:43" s="17" customFormat="1" x14ac:dyDescent="0.2">
      <c r="A27" s="515" t="s">
        <v>129</v>
      </c>
      <c r="B27" s="19">
        <f t="shared" ref="B27:AQ27" si="10">SUM(B25:B26)</f>
        <v>219.60000000000002</v>
      </c>
      <c r="C27" s="19">
        <f t="shared" si="10"/>
        <v>219.60000000000002</v>
      </c>
      <c r="D27" s="19">
        <f t="shared" si="10"/>
        <v>219.60000000000002</v>
      </c>
      <c r="E27" s="19">
        <f t="shared" si="10"/>
        <v>270</v>
      </c>
      <c r="F27" s="19">
        <f t="shared" si="10"/>
        <v>219.60000000000002</v>
      </c>
      <c r="G27" s="19">
        <f t="shared" si="10"/>
        <v>219.60000000000002</v>
      </c>
      <c r="H27" s="19">
        <f t="shared" si="10"/>
        <v>219.60000000000002</v>
      </c>
      <c r="I27" s="19">
        <f t="shared" si="10"/>
        <v>233.6112</v>
      </c>
      <c r="J27" s="19">
        <f t="shared" si="10"/>
        <v>345.6</v>
      </c>
      <c r="K27" s="19">
        <f t="shared" si="10"/>
        <v>370.79999999999995</v>
      </c>
      <c r="L27" s="19">
        <f t="shared" si="10"/>
        <v>370.79999999999995</v>
      </c>
      <c r="M27" s="19">
        <f t="shared" si="10"/>
        <v>370.79999999999995</v>
      </c>
      <c r="N27" s="19">
        <f t="shared" si="10"/>
        <v>269.54639999999995</v>
      </c>
      <c r="O27" s="19">
        <f t="shared" si="10"/>
        <v>269.54639999999995</v>
      </c>
      <c r="P27" s="19">
        <f t="shared" si="10"/>
        <v>370.79999999999995</v>
      </c>
      <c r="Q27" s="19">
        <f t="shared" si="10"/>
        <v>219.60000000000002</v>
      </c>
      <c r="R27" s="19">
        <f t="shared" si="10"/>
        <v>686.88000000000011</v>
      </c>
      <c r="S27" s="19">
        <f t="shared" si="10"/>
        <v>686.88000000000011</v>
      </c>
      <c r="T27" s="19">
        <f t="shared" si="10"/>
        <v>686.88000000000011</v>
      </c>
      <c r="U27" s="19">
        <f t="shared" si="10"/>
        <v>686.88000000000011</v>
      </c>
      <c r="V27" s="19">
        <f t="shared" si="10"/>
        <v>686.88000000000011</v>
      </c>
      <c r="W27" s="19">
        <f t="shared" si="10"/>
        <v>636.48</v>
      </c>
      <c r="X27" s="19">
        <f t="shared" si="10"/>
        <v>219.60000000000002</v>
      </c>
      <c r="Y27" s="19">
        <f t="shared" si="10"/>
        <v>233.6112</v>
      </c>
      <c r="Z27" s="19">
        <f t="shared" si="10"/>
        <v>233.6112</v>
      </c>
      <c r="AA27" s="19">
        <f t="shared" si="10"/>
        <v>233.6112</v>
      </c>
      <c r="AB27" s="84">
        <f t="shared" si="10"/>
        <v>233.6112</v>
      </c>
      <c r="AC27" s="108">
        <f t="shared" si="10"/>
        <v>535.68000000000006</v>
      </c>
      <c r="AD27" s="84">
        <f t="shared" si="10"/>
        <v>560.88000000000011</v>
      </c>
      <c r="AE27" s="84">
        <f t="shared" si="10"/>
        <v>586.07999999999993</v>
      </c>
      <c r="AF27" s="84">
        <f t="shared" si="10"/>
        <v>611.28</v>
      </c>
      <c r="AG27" s="84">
        <f t="shared" si="10"/>
        <v>636.48</v>
      </c>
      <c r="AH27" s="84">
        <f t="shared" si="10"/>
        <v>636.48</v>
      </c>
      <c r="AI27" s="84">
        <f t="shared" si="10"/>
        <v>636.48</v>
      </c>
      <c r="AJ27" s="84">
        <f t="shared" si="10"/>
        <v>636.48</v>
      </c>
      <c r="AK27" s="84">
        <f t="shared" si="10"/>
        <v>636.48</v>
      </c>
      <c r="AL27" s="84">
        <f t="shared" si="10"/>
        <v>636.48</v>
      </c>
      <c r="AM27" s="84">
        <f t="shared" si="10"/>
        <v>586.07999999999993</v>
      </c>
      <c r="AN27" s="84">
        <f t="shared" si="10"/>
        <v>586.07999999999993</v>
      </c>
      <c r="AO27" s="84">
        <f t="shared" si="10"/>
        <v>586.07999999999993</v>
      </c>
      <c r="AP27" s="109">
        <f t="shared" si="10"/>
        <v>586.07999999999993</v>
      </c>
      <c r="AQ27" s="117">
        <f t="shared" si="10"/>
        <v>219.60000000000002</v>
      </c>
    </row>
    <row r="28" spans="1:43" s="17" customFormat="1" x14ac:dyDescent="0.2">
      <c r="A28" s="18" t="s">
        <v>130</v>
      </c>
      <c r="B28" s="19">
        <f>AVERAGE(AA22:AB22,B22)</f>
        <v>285.59999999999997</v>
      </c>
      <c r="C28" s="19">
        <f>AVERAGE(AB22,B22:C22)</f>
        <v>268.8</v>
      </c>
      <c r="D28" s="19">
        <f t="shared" ref="D28:AP28" si="11">AVERAGE(B22:D22)</f>
        <v>252</v>
      </c>
      <c r="E28" s="19">
        <f t="shared" si="11"/>
        <v>252</v>
      </c>
      <c r="F28" s="19">
        <f t="shared" si="11"/>
        <v>252</v>
      </c>
      <c r="G28" s="19">
        <f t="shared" si="11"/>
        <v>252</v>
      </c>
      <c r="H28" s="19">
        <f t="shared" si="11"/>
        <v>260.40000000000003</v>
      </c>
      <c r="I28" s="19">
        <f t="shared" si="11"/>
        <v>277.2</v>
      </c>
      <c r="J28" s="19">
        <f t="shared" si="11"/>
        <v>302.40000000000003</v>
      </c>
      <c r="K28" s="19">
        <f t="shared" si="11"/>
        <v>327.59999999999997</v>
      </c>
      <c r="L28" s="19">
        <f t="shared" si="11"/>
        <v>344.39999999999992</v>
      </c>
      <c r="M28" s="19">
        <f t="shared" si="11"/>
        <v>352.79999999999995</v>
      </c>
      <c r="N28" s="19">
        <f t="shared" si="11"/>
        <v>352.79999999999995</v>
      </c>
      <c r="O28" s="19">
        <f t="shared" si="11"/>
        <v>352.79999999999995</v>
      </c>
      <c r="P28" s="19">
        <f t="shared" si="11"/>
        <v>352.79999999999995</v>
      </c>
      <c r="Q28" s="19">
        <f t="shared" si="11"/>
        <v>302.39999999999998</v>
      </c>
      <c r="R28" s="19">
        <f t="shared" si="11"/>
        <v>319.2</v>
      </c>
      <c r="S28" s="19">
        <f t="shared" si="11"/>
        <v>336.00000000000006</v>
      </c>
      <c r="T28" s="19">
        <f t="shared" si="11"/>
        <v>403.20000000000005</v>
      </c>
      <c r="U28" s="19">
        <f t="shared" si="11"/>
        <v>403.20000000000005</v>
      </c>
      <c r="V28" s="19">
        <f t="shared" si="11"/>
        <v>403.20000000000005</v>
      </c>
      <c r="W28" s="19">
        <f t="shared" si="11"/>
        <v>386.40000000000003</v>
      </c>
      <c r="X28" s="19">
        <f t="shared" si="11"/>
        <v>319.2</v>
      </c>
      <c r="Y28" s="19">
        <f t="shared" si="11"/>
        <v>285.59999999999997</v>
      </c>
      <c r="Z28" s="19">
        <f t="shared" si="11"/>
        <v>268.8</v>
      </c>
      <c r="AA28" s="19">
        <f t="shared" si="11"/>
        <v>302.39999999999998</v>
      </c>
      <c r="AB28" s="84">
        <f t="shared" si="11"/>
        <v>302.39999999999998</v>
      </c>
      <c r="AC28" s="108">
        <f t="shared" si="11"/>
        <v>285.59999999999997</v>
      </c>
      <c r="AD28" s="84">
        <f t="shared" si="11"/>
        <v>277.2</v>
      </c>
      <c r="AE28" s="84">
        <f t="shared" si="11"/>
        <v>277.2</v>
      </c>
      <c r="AF28" s="84">
        <f t="shared" si="11"/>
        <v>302.40000000000003</v>
      </c>
      <c r="AG28" s="84">
        <f t="shared" si="11"/>
        <v>327.59999999999997</v>
      </c>
      <c r="AH28" s="84">
        <f t="shared" si="11"/>
        <v>344.39999999999992</v>
      </c>
      <c r="AI28" s="84">
        <f t="shared" si="11"/>
        <v>352.79999999999995</v>
      </c>
      <c r="AJ28" s="84">
        <f t="shared" si="11"/>
        <v>352.79999999999995</v>
      </c>
      <c r="AK28" s="84">
        <f t="shared" si="11"/>
        <v>352.79999999999995</v>
      </c>
      <c r="AL28" s="84">
        <f t="shared" si="11"/>
        <v>352.79999999999995</v>
      </c>
      <c r="AM28" s="84">
        <f t="shared" si="11"/>
        <v>335.99999999999994</v>
      </c>
      <c r="AN28" s="84">
        <f t="shared" si="11"/>
        <v>319.2</v>
      </c>
      <c r="AO28" s="84">
        <f t="shared" si="11"/>
        <v>302.39999999999998</v>
      </c>
      <c r="AP28" s="109">
        <f t="shared" si="11"/>
        <v>302.39999999999998</v>
      </c>
      <c r="AQ28" s="117" t="s">
        <v>131</v>
      </c>
    </row>
    <row r="29" spans="1:43" s="17" customFormat="1" x14ac:dyDescent="0.2">
      <c r="A29" s="245" t="s">
        <v>132</v>
      </c>
      <c r="B29" s="84"/>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2"/>
      <c r="AD29" s="243"/>
      <c r="AE29" s="243"/>
      <c r="AF29" s="243"/>
      <c r="AG29" s="243"/>
      <c r="AH29" s="243"/>
      <c r="AI29" s="243"/>
      <c r="AJ29" s="243"/>
      <c r="AK29" s="243"/>
      <c r="AL29" s="243"/>
      <c r="AM29" s="243"/>
      <c r="AN29" s="243"/>
      <c r="AO29" s="243"/>
      <c r="AP29" s="244"/>
      <c r="AQ29" s="117"/>
    </row>
    <row r="30" spans="1:43" s="17" customFormat="1" x14ac:dyDescent="0.2">
      <c r="A30" s="18" t="s">
        <v>133</v>
      </c>
      <c r="B30" s="246">
        <f t="shared" ref="B30:AQ30" si="12">IF(ISBLANK(B101),0,$B$11)</f>
        <v>64.8</v>
      </c>
      <c r="C30" s="246">
        <f t="shared" si="12"/>
        <v>64.8</v>
      </c>
      <c r="D30" s="246">
        <f t="shared" si="12"/>
        <v>64.8</v>
      </c>
      <c r="E30" s="246">
        <f t="shared" si="12"/>
        <v>0</v>
      </c>
      <c r="F30" s="246">
        <f t="shared" si="12"/>
        <v>64.8</v>
      </c>
      <c r="G30" s="246">
        <f t="shared" si="12"/>
        <v>64.8</v>
      </c>
      <c r="H30" s="246">
        <f t="shared" si="12"/>
        <v>64.8</v>
      </c>
      <c r="I30" s="246">
        <f t="shared" si="12"/>
        <v>64.8</v>
      </c>
      <c r="J30" s="246">
        <f t="shared" si="12"/>
        <v>0</v>
      </c>
      <c r="K30" s="246">
        <f t="shared" si="12"/>
        <v>0</v>
      </c>
      <c r="L30" s="246">
        <f t="shared" si="12"/>
        <v>0</v>
      </c>
      <c r="M30" s="246">
        <f t="shared" si="12"/>
        <v>0</v>
      </c>
      <c r="N30" s="246">
        <f t="shared" si="12"/>
        <v>64.8</v>
      </c>
      <c r="O30" s="246">
        <f t="shared" si="12"/>
        <v>64.8</v>
      </c>
      <c r="P30" s="246">
        <f t="shared" si="12"/>
        <v>0</v>
      </c>
      <c r="Q30" s="246">
        <f t="shared" si="12"/>
        <v>0</v>
      </c>
      <c r="R30" s="246">
        <f t="shared" si="12"/>
        <v>0</v>
      </c>
      <c r="S30" s="246">
        <f t="shared" si="12"/>
        <v>0</v>
      </c>
      <c r="T30" s="246">
        <f t="shared" si="12"/>
        <v>0</v>
      </c>
      <c r="U30" s="246">
        <f t="shared" si="12"/>
        <v>0</v>
      </c>
      <c r="V30" s="246">
        <f t="shared" si="12"/>
        <v>0</v>
      </c>
      <c r="W30" s="246">
        <f t="shared" si="12"/>
        <v>0</v>
      </c>
      <c r="X30" s="246">
        <f t="shared" si="12"/>
        <v>0</v>
      </c>
      <c r="Y30" s="246">
        <f t="shared" si="12"/>
        <v>64.8</v>
      </c>
      <c r="Z30" s="246">
        <f t="shared" si="12"/>
        <v>64.8</v>
      </c>
      <c r="AA30" s="246">
        <f t="shared" si="12"/>
        <v>64.8</v>
      </c>
      <c r="AB30" s="247">
        <f t="shared" si="12"/>
        <v>64.8</v>
      </c>
      <c r="AC30" s="198">
        <f t="shared" si="12"/>
        <v>0</v>
      </c>
      <c r="AD30" s="520">
        <f t="shared" si="12"/>
        <v>0</v>
      </c>
      <c r="AE30" s="520">
        <f t="shared" si="12"/>
        <v>0</v>
      </c>
      <c r="AF30" s="520">
        <f t="shared" si="12"/>
        <v>0</v>
      </c>
      <c r="AG30" s="520">
        <f t="shared" si="12"/>
        <v>0</v>
      </c>
      <c r="AH30" s="520">
        <f t="shared" si="12"/>
        <v>0</v>
      </c>
      <c r="AI30" s="520">
        <f t="shared" si="12"/>
        <v>0</v>
      </c>
      <c r="AJ30" s="520">
        <f t="shared" si="12"/>
        <v>0</v>
      </c>
      <c r="AK30" s="520">
        <f t="shared" si="12"/>
        <v>0</v>
      </c>
      <c r="AL30" s="520">
        <f t="shared" si="12"/>
        <v>0</v>
      </c>
      <c r="AM30" s="520">
        <f t="shared" si="12"/>
        <v>0</v>
      </c>
      <c r="AN30" s="520">
        <f t="shared" si="12"/>
        <v>0</v>
      </c>
      <c r="AO30" s="520">
        <f t="shared" si="12"/>
        <v>0</v>
      </c>
      <c r="AP30" s="522">
        <f t="shared" si="12"/>
        <v>0</v>
      </c>
      <c r="AQ30" s="117">
        <f t="shared" si="12"/>
        <v>64.8</v>
      </c>
    </row>
    <row r="31" spans="1:43" s="17" customFormat="1" ht="12.75" x14ac:dyDescent="0.2">
      <c r="A31" s="528" t="s">
        <v>134</v>
      </c>
      <c r="B31" s="529"/>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93"/>
      <c r="AD31" s="30"/>
      <c r="AE31" s="30"/>
      <c r="AF31" s="30"/>
      <c r="AG31" s="30"/>
      <c r="AH31" s="30"/>
      <c r="AI31" s="30"/>
      <c r="AJ31" s="30"/>
      <c r="AK31" s="30"/>
      <c r="AL31" s="30"/>
      <c r="AM31" s="30"/>
      <c r="AN31" s="30"/>
      <c r="AO31" s="30"/>
      <c r="AP31" s="94"/>
      <c r="AQ31" s="531"/>
    </row>
    <row r="32" spans="1:43" s="17" customFormat="1" x14ac:dyDescent="0.2">
      <c r="A32" s="488" t="s">
        <v>135</v>
      </c>
      <c r="B32" s="508">
        <v>0.7</v>
      </c>
      <c r="C32" s="508">
        <v>0.7</v>
      </c>
      <c r="D32" s="508">
        <v>0.7</v>
      </c>
      <c r="E32" s="508">
        <v>0.7</v>
      </c>
      <c r="F32" s="508">
        <v>0.7</v>
      </c>
      <c r="G32" s="508">
        <v>0.7</v>
      </c>
      <c r="H32" s="508">
        <v>0.8</v>
      </c>
      <c r="I32" s="508">
        <v>0.8</v>
      </c>
      <c r="J32" s="508">
        <v>0.8</v>
      </c>
      <c r="K32" s="508">
        <v>0.9</v>
      </c>
      <c r="L32" s="508">
        <v>0.9</v>
      </c>
      <c r="M32" s="508">
        <v>0.9</v>
      </c>
      <c r="N32" s="508">
        <v>1</v>
      </c>
      <c r="O32" s="508">
        <v>1</v>
      </c>
      <c r="P32" s="508">
        <v>1</v>
      </c>
      <c r="Q32" s="508">
        <v>1</v>
      </c>
      <c r="R32" s="508">
        <v>1</v>
      </c>
      <c r="S32" s="508">
        <v>1</v>
      </c>
      <c r="T32" s="508">
        <v>1</v>
      </c>
      <c r="U32" s="508">
        <v>1</v>
      </c>
      <c r="V32" s="508">
        <v>1</v>
      </c>
      <c r="W32" s="508">
        <v>1</v>
      </c>
      <c r="X32" s="508">
        <v>1</v>
      </c>
      <c r="Y32" s="508">
        <v>1</v>
      </c>
      <c r="Z32" s="508">
        <v>1</v>
      </c>
      <c r="AA32" s="508">
        <v>1</v>
      </c>
      <c r="AB32" s="509">
        <v>1</v>
      </c>
      <c r="AC32" s="92">
        <v>0.7</v>
      </c>
      <c r="AD32" s="508">
        <v>0.8</v>
      </c>
      <c r="AE32" s="508">
        <v>0.8</v>
      </c>
      <c r="AF32" s="508">
        <v>0.8</v>
      </c>
      <c r="AG32" s="508">
        <v>0.9</v>
      </c>
      <c r="AH32" s="508">
        <v>0.9</v>
      </c>
      <c r="AI32" s="508">
        <v>0.9</v>
      </c>
      <c r="AJ32" s="508">
        <v>1</v>
      </c>
      <c r="AK32" s="508">
        <v>1</v>
      </c>
      <c r="AL32" s="508">
        <v>1</v>
      </c>
      <c r="AM32" s="508">
        <v>1</v>
      </c>
      <c r="AN32" s="508">
        <v>1</v>
      </c>
      <c r="AO32" s="508">
        <v>1</v>
      </c>
      <c r="AP32" s="510">
        <v>1</v>
      </c>
      <c r="AQ32" s="511">
        <v>0.7</v>
      </c>
    </row>
    <row r="33" spans="1:43" s="17" customFormat="1" x14ac:dyDescent="0.2">
      <c r="A33" s="488" t="s">
        <v>136</v>
      </c>
      <c r="B33" s="532">
        <f>B32*0.8</f>
        <v>0.55999999999999994</v>
      </c>
      <c r="C33" s="532">
        <f t="shared" ref="C33:AB33" si="13">C32*0.8</f>
        <v>0.55999999999999994</v>
      </c>
      <c r="D33" s="532">
        <f t="shared" si="13"/>
        <v>0.55999999999999994</v>
      </c>
      <c r="E33" s="532">
        <f t="shared" si="13"/>
        <v>0.55999999999999994</v>
      </c>
      <c r="F33" s="532">
        <f t="shared" si="13"/>
        <v>0.55999999999999994</v>
      </c>
      <c r="G33" s="532">
        <f t="shared" si="13"/>
        <v>0.55999999999999994</v>
      </c>
      <c r="H33" s="532">
        <f t="shared" si="13"/>
        <v>0.64000000000000012</v>
      </c>
      <c r="I33" s="532">
        <f t="shared" si="13"/>
        <v>0.64000000000000012</v>
      </c>
      <c r="J33" s="532">
        <f t="shared" si="13"/>
        <v>0.64000000000000012</v>
      </c>
      <c r="K33" s="532">
        <f t="shared" si="13"/>
        <v>0.72000000000000008</v>
      </c>
      <c r="L33" s="532">
        <f t="shared" si="13"/>
        <v>0.72000000000000008</v>
      </c>
      <c r="M33" s="532">
        <f t="shared" si="13"/>
        <v>0.72000000000000008</v>
      </c>
      <c r="N33" s="532">
        <f t="shared" si="13"/>
        <v>0.8</v>
      </c>
      <c r="O33" s="532">
        <f t="shared" si="13"/>
        <v>0.8</v>
      </c>
      <c r="P33" s="532">
        <f t="shared" si="13"/>
        <v>0.8</v>
      </c>
      <c r="Q33" s="532">
        <f t="shared" si="13"/>
        <v>0.8</v>
      </c>
      <c r="R33" s="532">
        <f t="shared" si="13"/>
        <v>0.8</v>
      </c>
      <c r="S33" s="532">
        <f t="shared" si="13"/>
        <v>0.8</v>
      </c>
      <c r="T33" s="532">
        <f t="shared" si="13"/>
        <v>0.8</v>
      </c>
      <c r="U33" s="532">
        <f t="shared" si="13"/>
        <v>0.8</v>
      </c>
      <c r="V33" s="532">
        <f t="shared" si="13"/>
        <v>0.8</v>
      </c>
      <c r="W33" s="532">
        <f t="shared" si="13"/>
        <v>0.8</v>
      </c>
      <c r="X33" s="532">
        <f t="shared" si="13"/>
        <v>0.8</v>
      </c>
      <c r="Y33" s="532">
        <f t="shared" si="13"/>
        <v>0.8</v>
      </c>
      <c r="Z33" s="532">
        <f t="shared" si="13"/>
        <v>0.8</v>
      </c>
      <c r="AA33" s="532">
        <f t="shared" si="13"/>
        <v>0.8</v>
      </c>
      <c r="AB33" s="533">
        <f t="shared" si="13"/>
        <v>0.8</v>
      </c>
      <c r="AC33" s="92">
        <v>0.56000000000000005</v>
      </c>
      <c r="AD33" s="508">
        <v>0.6</v>
      </c>
      <c r="AE33" s="508">
        <v>0.6</v>
      </c>
      <c r="AF33" s="508">
        <v>0.6</v>
      </c>
      <c r="AG33" s="508">
        <v>0.75</v>
      </c>
      <c r="AH33" s="508">
        <v>0.75</v>
      </c>
      <c r="AI33" s="508">
        <v>0.75</v>
      </c>
      <c r="AJ33" s="508">
        <v>0.75</v>
      </c>
      <c r="AK33" s="508">
        <v>0.75</v>
      </c>
      <c r="AL33" s="508">
        <v>0.75</v>
      </c>
      <c r="AM33" s="508">
        <v>0.5625</v>
      </c>
      <c r="AN33" s="508">
        <v>0.5625</v>
      </c>
      <c r="AO33" s="508">
        <v>0.5625</v>
      </c>
      <c r="AP33" s="510">
        <v>0.5625</v>
      </c>
      <c r="AQ33" s="534">
        <v>0.56000000000000005</v>
      </c>
    </row>
    <row r="34" spans="1:43" s="17" customFormat="1" x14ac:dyDescent="0.2">
      <c r="A34" s="488" t="s">
        <v>137</v>
      </c>
      <c r="B34" s="532">
        <f>((B36*$B$125)/$B$2)</f>
        <v>0.47401040073839129</v>
      </c>
      <c r="C34" s="532">
        <f t="shared" ref="C34:AQ34" si="14">((C36*$B$125)/$B$2)</f>
        <v>0.47401040073839129</v>
      </c>
      <c r="D34" s="532">
        <f t="shared" si="14"/>
        <v>0.47401040073839129</v>
      </c>
      <c r="E34" s="532">
        <f t="shared" si="14"/>
        <v>0.47401040073839129</v>
      </c>
      <c r="F34" s="532">
        <f t="shared" si="14"/>
        <v>0.47401040073839129</v>
      </c>
      <c r="G34" s="532">
        <f t="shared" si="14"/>
        <v>0.47401040073839129</v>
      </c>
      <c r="H34" s="532">
        <f t="shared" si="14"/>
        <v>0.54172617227244724</v>
      </c>
      <c r="I34" s="532">
        <f t="shared" si="14"/>
        <v>0.54172617227244724</v>
      </c>
      <c r="J34" s="532">
        <f t="shared" si="14"/>
        <v>0.54172617227244724</v>
      </c>
      <c r="K34" s="532">
        <f t="shared" si="14"/>
        <v>0.60944194380650318</v>
      </c>
      <c r="L34" s="532">
        <f t="shared" si="14"/>
        <v>0.60944194380650318</v>
      </c>
      <c r="M34" s="532">
        <f t="shared" si="14"/>
        <v>0.60944194380650318</v>
      </c>
      <c r="N34" s="532">
        <f t="shared" si="14"/>
        <v>0.67715771534055902</v>
      </c>
      <c r="O34" s="532">
        <f t="shared" si="14"/>
        <v>0.67715771534055902</v>
      </c>
      <c r="P34" s="532">
        <f t="shared" si="14"/>
        <v>0.67715771534055902</v>
      </c>
      <c r="Q34" s="532">
        <f t="shared" si="14"/>
        <v>0.67715771534055902</v>
      </c>
      <c r="R34" s="532">
        <f t="shared" si="14"/>
        <v>0.67715771534055902</v>
      </c>
      <c r="S34" s="532">
        <f t="shared" si="14"/>
        <v>0.67715771534055902</v>
      </c>
      <c r="T34" s="532">
        <f t="shared" si="14"/>
        <v>0.67715771534055902</v>
      </c>
      <c r="U34" s="532">
        <f t="shared" si="14"/>
        <v>0.67715771534055902</v>
      </c>
      <c r="V34" s="532">
        <f t="shared" si="14"/>
        <v>0.67715771534055902</v>
      </c>
      <c r="W34" s="532">
        <f t="shared" si="14"/>
        <v>0.67715771534055902</v>
      </c>
      <c r="X34" s="532">
        <f t="shared" si="14"/>
        <v>0.67715771534055902</v>
      </c>
      <c r="Y34" s="532">
        <f t="shared" si="14"/>
        <v>0.67715771534055902</v>
      </c>
      <c r="Z34" s="532">
        <f t="shared" si="14"/>
        <v>0.67715771534055902</v>
      </c>
      <c r="AA34" s="532">
        <f t="shared" si="14"/>
        <v>0.67715771534055902</v>
      </c>
      <c r="AB34" s="533">
        <f t="shared" si="14"/>
        <v>0.67715771534055902</v>
      </c>
      <c r="AC34" s="92">
        <f t="shared" si="14"/>
        <v>0.47401040073839129</v>
      </c>
      <c r="AD34" s="508">
        <f t="shared" si="14"/>
        <v>0.50786828650541926</v>
      </c>
      <c r="AE34" s="508">
        <f t="shared" si="14"/>
        <v>0.50786828650541926</v>
      </c>
      <c r="AF34" s="508">
        <f t="shared" si="14"/>
        <v>0.50786828650541926</v>
      </c>
      <c r="AG34" s="508">
        <f t="shared" si="14"/>
        <v>0.63483535813177405</v>
      </c>
      <c r="AH34" s="508">
        <f t="shared" si="14"/>
        <v>0.63483535813177405</v>
      </c>
      <c r="AI34" s="508">
        <f t="shared" si="14"/>
        <v>0.63483535813177405</v>
      </c>
      <c r="AJ34" s="508">
        <f t="shared" si="14"/>
        <v>0.63483535813177405</v>
      </c>
      <c r="AK34" s="508">
        <f t="shared" si="14"/>
        <v>0.63483535813177405</v>
      </c>
      <c r="AL34" s="508">
        <f t="shared" si="14"/>
        <v>0.63483535813177405</v>
      </c>
      <c r="AM34" s="508">
        <f t="shared" si="14"/>
        <v>0.47654974217091839</v>
      </c>
      <c r="AN34" s="508">
        <f t="shared" si="14"/>
        <v>0.47654974217091839</v>
      </c>
      <c r="AO34" s="508">
        <f t="shared" si="14"/>
        <v>0.47654974217091839</v>
      </c>
      <c r="AP34" s="510">
        <f t="shared" si="14"/>
        <v>0.47654974217091839</v>
      </c>
      <c r="AQ34" s="534">
        <f t="shared" si="14"/>
        <v>0.47401040073839129</v>
      </c>
    </row>
    <row r="35" spans="1:43" s="17" customFormat="1" x14ac:dyDescent="0.2">
      <c r="A35" s="536" t="s">
        <v>138</v>
      </c>
      <c r="B35" s="537">
        <f t="shared" ref="B35:AP35" si="15">ROUND($B$2*B32,2)</f>
        <v>7</v>
      </c>
      <c r="C35" s="537">
        <f t="shared" si="15"/>
        <v>7</v>
      </c>
      <c r="D35" s="537">
        <f t="shared" si="15"/>
        <v>7</v>
      </c>
      <c r="E35" s="537">
        <f t="shared" si="15"/>
        <v>7</v>
      </c>
      <c r="F35" s="537">
        <f t="shared" si="15"/>
        <v>7</v>
      </c>
      <c r="G35" s="537">
        <f t="shared" si="15"/>
        <v>7</v>
      </c>
      <c r="H35" s="537">
        <f t="shared" si="15"/>
        <v>8</v>
      </c>
      <c r="I35" s="537">
        <f t="shared" si="15"/>
        <v>8</v>
      </c>
      <c r="J35" s="537">
        <f t="shared" si="15"/>
        <v>8</v>
      </c>
      <c r="K35" s="537">
        <f t="shared" si="15"/>
        <v>9</v>
      </c>
      <c r="L35" s="537">
        <f t="shared" si="15"/>
        <v>9</v>
      </c>
      <c r="M35" s="537">
        <f t="shared" si="15"/>
        <v>9</v>
      </c>
      <c r="N35" s="537">
        <f t="shared" si="15"/>
        <v>10</v>
      </c>
      <c r="O35" s="537">
        <f t="shared" si="15"/>
        <v>10</v>
      </c>
      <c r="P35" s="537">
        <f t="shared" si="15"/>
        <v>10</v>
      </c>
      <c r="Q35" s="537">
        <f t="shared" si="15"/>
        <v>10</v>
      </c>
      <c r="R35" s="537">
        <f t="shared" si="15"/>
        <v>10</v>
      </c>
      <c r="S35" s="537">
        <f t="shared" si="15"/>
        <v>10</v>
      </c>
      <c r="T35" s="537">
        <f t="shared" si="15"/>
        <v>10</v>
      </c>
      <c r="U35" s="537">
        <f t="shared" si="15"/>
        <v>10</v>
      </c>
      <c r="V35" s="537">
        <f t="shared" si="15"/>
        <v>10</v>
      </c>
      <c r="W35" s="537">
        <f t="shared" si="15"/>
        <v>10</v>
      </c>
      <c r="X35" s="537">
        <f t="shared" si="15"/>
        <v>10</v>
      </c>
      <c r="Y35" s="537">
        <f t="shared" si="15"/>
        <v>10</v>
      </c>
      <c r="Z35" s="537">
        <f t="shared" si="15"/>
        <v>10</v>
      </c>
      <c r="AA35" s="537">
        <f t="shared" si="15"/>
        <v>10</v>
      </c>
      <c r="AB35" s="538">
        <f t="shared" si="15"/>
        <v>10</v>
      </c>
      <c r="AC35" s="95">
        <f t="shared" si="15"/>
        <v>7</v>
      </c>
      <c r="AD35" s="537">
        <f t="shared" si="15"/>
        <v>8</v>
      </c>
      <c r="AE35" s="537">
        <f t="shared" si="15"/>
        <v>8</v>
      </c>
      <c r="AF35" s="537">
        <f t="shared" si="15"/>
        <v>8</v>
      </c>
      <c r="AG35" s="537">
        <f t="shared" si="15"/>
        <v>9</v>
      </c>
      <c r="AH35" s="537">
        <f t="shared" si="15"/>
        <v>9</v>
      </c>
      <c r="AI35" s="537">
        <f t="shared" si="15"/>
        <v>9</v>
      </c>
      <c r="AJ35" s="537">
        <f t="shared" si="15"/>
        <v>10</v>
      </c>
      <c r="AK35" s="537">
        <f t="shared" si="15"/>
        <v>10</v>
      </c>
      <c r="AL35" s="537">
        <f t="shared" si="15"/>
        <v>10</v>
      </c>
      <c r="AM35" s="537">
        <f t="shared" si="15"/>
        <v>10</v>
      </c>
      <c r="AN35" s="537">
        <f t="shared" si="15"/>
        <v>10</v>
      </c>
      <c r="AO35" s="537">
        <f t="shared" si="15"/>
        <v>10</v>
      </c>
      <c r="AP35" s="539">
        <f t="shared" si="15"/>
        <v>10</v>
      </c>
      <c r="AQ35" s="506">
        <f t="shared" ref="AQ35" si="16">ROUND($B$2*AQ$32,2)</f>
        <v>7</v>
      </c>
    </row>
    <row r="36" spans="1:43" x14ac:dyDescent="0.2">
      <c r="A36" s="536" t="s">
        <v>139</v>
      </c>
      <c r="B36" s="537">
        <f t="shared" ref="B36:AP36" si="17">ROUND($B$2*B33,2)</f>
        <v>5.6</v>
      </c>
      <c r="C36" s="537">
        <f t="shared" si="17"/>
        <v>5.6</v>
      </c>
      <c r="D36" s="537">
        <f t="shared" si="17"/>
        <v>5.6</v>
      </c>
      <c r="E36" s="537">
        <f t="shared" si="17"/>
        <v>5.6</v>
      </c>
      <c r="F36" s="537">
        <f t="shared" si="17"/>
        <v>5.6</v>
      </c>
      <c r="G36" s="537">
        <f t="shared" si="17"/>
        <v>5.6</v>
      </c>
      <c r="H36" s="537">
        <f t="shared" si="17"/>
        <v>6.4</v>
      </c>
      <c r="I36" s="537">
        <f t="shared" si="17"/>
        <v>6.4</v>
      </c>
      <c r="J36" s="537">
        <f t="shared" si="17"/>
        <v>6.4</v>
      </c>
      <c r="K36" s="537">
        <f t="shared" si="17"/>
        <v>7.2</v>
      </c>
      <c r="L36" s="537">
        <f t="shared" si="17"/>
        <v>7.2</v>
      </c>
      <c r="M36" s="537">
        <f t="shared" si="17"/>
        <v>7.2</v>
      </c>
      <c r="N36" s="537">
        <f t="shared" si="17"/>
        <v>8</v>
      </c>
      <c r="O36" s="537">
        <f t="shared" si="17"/>
        <v>8</v>
      </c>
      <c r="P36" s="537">
        <f t="shared" si="17"/>
        <v>8</v>
      </c>
      <c r="Q36" s="537">
        <f t="shared" si="17"/>
        <v>8</v>
      </c>
      <c r="R36" s="537">
        <f t="shared" si="17"/>
        <v>8</v>
      </c>
      <c r="S36" s="537">
        <f t="shared" si="17"/>
        <v>8</v>
      </c>
      <c r="T36" s="537">
        <f t="shared" si="17"/>
        <v>8</v>
      </c>
      <c r="U36" s="537">
        <f t="shared" si="17"/>
        <v>8</v>
      </c>
      <c r="V36" s="537">
        <f t="shared" si="17"/>
        <v>8</v>
      </c>
      <c r="W36" s="537">
        <f t="shared" si="17"/>
        <v>8</v>
      </c>
      <c r="X36" s="537">
        <f t="shared" si="17"/>
        <v>8</v>
      </c>
      <c r="Y36" s="537">
        <f t="shared" si="17"/>
        <v>8</v>
      </c>
      <c r="Z36" s="537">
        <f t="shared" si="17"/>
        <v>8</v>
      </c>
      <c r="AA36" s="537">
        <f t="shared" si="17"/>
        <v>8</v>
      </c>
      <c r="AB36" s="538">
        <f t="shared" si="17"/>
        <v>8</v>
      </c>
      <c r="AC36" s="95">
        <f t="shared" si="17"/>
        <v>5.6</v>
      </c>
      <c r="AD36" s="537">
        <f t="shared" si="17"/>
        <v>6</v>
      </c>
      <c r="AE36" s="537">
        <f t="shared" si="17"/>
        <v>6</v>
      </c>
      <c r="AF36" s="537">
        <f t="shared" si="17"/>
        <v>6</v>
      </c>
      <c r="AG36" s="537">
        <f t="shared" si="17"/>
        <v>7.5</v>
      </c>
      <c r="AH36" s="537">
        <f t="shared" si="17"/>
        <v>7.5</v>
      </c>
      <c r="AI36" s="537">
        <f t="shared" si="17"/>
        <v>7.5</v>
      </c>
      <c r="AJ36" s="537">
        <f t="shared" si="17"/>
        <v>7.5</v>
      </c>
      <c r="AK36" s="537">
        <f t="shared" si="17"/>
        <v>7.5</v>
      </c>
      <c r="AL36" s="537">
        <f t="shared" si="17"/>
        <v>7.5</v>
      </c>
      <c r="AM36" s="537">
        <f t="shared" si="17"/>
        <v>5.63</v>
      </c>
      <c r="AN36" s="537">
        <f t="shared" si="17"/>
        <v>5.63</v>
      </c>
      <c r="AO36" s="537">
        <f t="shared" si="17"/>
        <v>5.63</v>
      </c>
      <c r="AP36" s="539">
        <f t="shared" si="17"/>
        <v>5.63</v>
      </c>
      <c r="AQ36" s="506">
        <f t="shared" ref="AQ36" si="18">ROUND($B$2*AQ$33,2)</f>
        <v>5.6</v>
      </c>
    </row>
    <row r="37" spans="1:43" x14ac:dyDescent="0.2">
      <c r="A37" s="540" t="s">
        <v>140</v>
      </c>
      <c r="B37" s="537">
        <f>B34*$B$2</f>
        <v>4.7401040073839127</v>
      </c>
      <c r="C37" s="537">
        <f t="shared" ref="C37:AQ37" si="19">C34*$B$2</f>
        <v>4.7401040073839127</v>
      </c>
      <c r="D37" s="537">
        <f t="shared" si="19"/>
        <v>4.7401040073839127</v>
      </c>
      <c r="E37" s="537">
        <f t="shared" si="19"/>
        <v>4.7401040073839127</v>
      </c>
      <c r="F37" s="537">
        <f t="shared" si="19"/>
        <v>4.7401040073839127</v>
      </c>
      <c r="G37" s="537">
        <f t="shared" si="19"/>
        <v>4.7401040073839127</v>
      </c>
      <c r="H37" s="537">
        <f t="shared" si="19"/>
        <v>5.4172617227244722</v>
      </c>
      <c r="I37" s="537">
        <f t="shared" si="19"/>
        <v>5.4172617227244722</v>
      </c>
      <c r="J37" s="537">
        <f t="shared" si="19"/>
        <v>5.4172617227244722</v>
      </c>
      <c r="K37" s="537">
        <f t="shared" si="19"/>
        <v>6.0944194380650316</v>
      </c>
      <c r="L37" s="537">
        <f t="shared" si="19"/>
        <v>6.0944194380650316</v>
      </c>
      <c r="M37" s="537">
        <f t="shared" si="19"/>
        <v>6.0944194380650316</v>
      </c>
      <c r="N37" s="537">
        <f t="shared" si="19"/>
        <v>6.7715771534055902</v>
      </c>
      <c r="O37" s="537">
        <f t="shared" si="19"/>
        <v>6.7715771534055902</v>
      </c>
      <c r="P37" s="537">
        <f t="shared" si="19"/>
        <v>6.7715771534055902</v>
      </c>
      <c r="Q37" s="537">
        <f t="shared" si="19"/>
        <v>6.7715771534055902</v>
      </c>
      <c r="R37" s="537">
        <f t="shared" si="19"/>
        <v>6.7715771534055902</v>
      </c>
      <c r="S37" s="537">
        <f t="shared" si="19"/>
        <v>6.7715771534055902</v>
      </c>
      <c r="T37" s="537">
        <f t="shared" si="19"/>
        <v>6.7715771534055902</v>
      </c>
      <c r="U37" s="537">
        <f t="shared" si="19"/>
        <v>6.7715771534055902</v>
      </c>
      <c r="V37" s="537">
        <f t="shared" si="19"/>
        <v>6.7715771534055902</v>
      </c>
      <c r="W37" s="537">
        <f t="shared" si="19"/>
        <v>6.7715771534055902</v>
      </c>
      <c r="X37" s="537">
        <f t="shared" si="19"/>
        <v>6.7715771534055902</v>
      </c>
      <c r="Y37" s="537">
        <f t="shared" si="19"/>
        <v>6.7715771534055902</v>
      </c>
      <c r="Z37" s="537">
        <f t="shared" si="19"/>
        <v>6.7715771534055902</v>
      </c>
      <c r="AA37" s="537">
        <f t="shared" si="19"/>
        <v>6.7715771534055902</v>
      </c>
      <c r="AB37" s="539">
        <f t="shared" si="19"/>
        <v>6.7715771534055902</v>
      </c>
      <c r="AC37" s="542">
        <f t="shared" si="19"/>
        <v>4.7401040073839127</v>
      </c>
      <c r="AD37" s="537">
        <f t="shared" si="19"/>
        <v>5.0786828650541924</v>
      </c>
      <c r="AE37" s="537">
        <f t="shared" si="19"/>
        <v>5.0786828650541924</v>
      </c>
      <c r="AF37" s="537">
        <f t="shared" si="19"/>
        <v>5.0786828650541924</v>
      </c>
      <c r="AG37" s="537">
        <f t="shared" si="19"/>
        <v>6.3483535813177401</v>
      </c>
      <c r="AH37" s="537">
        <f t="shared" si="19"/>
        <v>6.3483535813177401</v>
      </c>
      <c r="AI37" s="537">
        <f t="shared" si="19"/>
        <v>6.3483535813177401</v>
      </c>
      <c r="AJ37" s="537">
        <f t="shared" si="19"/>
        <v>6.3483535813177401</v>
      </c>
      <c r="AK37" s="537">
        <f t="shared" si="19"/>
        <v>6.3483535813177401</v>
      </c>
      <c r="AL37" s="537">
        <f t="shared" si="19"/>
        <v>6.3483535813177401</v>
      </c>
      <c r="AM37" s="537">
        <f t="shared" si="19"/>
        <v>4.7654974217091839</v>
      </c>
      <c r="AN37" s="537">
        <f t="shared" si="19"/>
        <v>4.7654974217091839</v>
      </c>
      <c r="AO37" s="537">
        <f t="shared" si="19"/>
        <v>4.7654974217091839</v>
      </c>
      <c r="AP37" s="539">
        <f t="shared" si="19"/>
        <v>4.7654974217091839</v>
      </c>
      <c r="AQ37" s="542">
        <f t="shared" si="19"/>
        <v>4.7401040073839127</v>
      </c>
    </row>
    <row r="38" spans="1:43" x14ac:dyDescent="0.2">
      <c r="A38" s="543" t="s">
        <v>141</v>
      </c>
      <c r="B38" s="544"/>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89"/>
      <c r="AD38" s="39"/>
      <c r="AE38" s="39"/>
      <c r="AF38" s="39"/>
      <c r="AG38" s="39"/>
      <c r="AH38" s="39"/>
      <c r="AI38" s="39"/>
      <c r="AJ38" s="39"/>
      <c r="AK38" s="39"/>
      <c r="AL38" s="39"/>
      <c r="AM38" s="39"/>
      <c r="AN38" s="39"/>
      <c r="AO38" s="39"/>
      <c r="AP38" s="90"/>
      <c r="AQ38" s="506"/>
    </row>
    <row r="39" spans="1:43" x14ac:dyDescent="0.2">
      <c r="A39" s="546" t="s">
        <v>142</v>
      </c>
      <c r="B39" s="547">
        <f t="shared" ref="B39:AQ39" si="20">IF($B126&gt;=0.9, B$36,B$36*$B126)</f>
        <v>3.8102322503690109</v>
      </c>
      <c r="C39" s="547">
        <f t="shared" si="20"/>
        <v>3.8102322503690109</v>
      </c>
      <c r="D39" s="547">
        <f t="shared" si="20"/>
        <v>3.8102322503690109</v>
      </c>
      <c r="E39" s="547">
        <f t="shared" si="20"/>
        <v>3.8102322503690109</v>
      </c>
      <c r="F39" s="547">
        <f t="shared" si="20"/>
        <v>3.8102322503690109</v>
      </c>
      <c r="G39" s="547">
        <f t="shared" si="20"/>
        <v>3.8102322503690109</v>
      </c>
      <c r="H39" s="547">
        <f t="shared" si="20"/>
        <v>4.3545511432788704</v>
      </c>
      <c r="I39" s="547">
        <f t="shared" si="20"/>
        <v>4.3545511432788704</v>
      </c>
      <c r="J39" s="547">
        <f t="shared" si="20"/>
        <v>4.3545511432788704</v>
      </c>
      <c r="K39" s="547">
        <f t="shared" si="20"/>
        <v>4.898870036188729</v>
      </c>
      <c r="L39" s="547">
        <f t="shared" si="20"/>
        <v>4.898870036188729</v>
      </c>
      <c r="M39" s="547">
        <f t="shared" si="20"/>
        <v>4.898870036188729</v>
      </c>
      <c r="N39" s="547">
        <f t="shared" si="20"/>
        <v>5.4431889290985875</v>
      </c>
      <c r="O39" s="547">
        <f t="shared" si="20"/>
        <v>5.4431889290985875</v>
      </c>
      <c r="P39" s="547">
        <f t="shared" si="20"/>
        <v>5.4431889290985875</v>
      </c>
      <c r="Q39" s="547">
        <f t="shared" si="20"/>
        <v>5.4431889290985875</v>
      </c>
      <c r="R39" s="547">
        <f t="shared" si="20"/>
        <v>5.4431889290985875</v>
      </c>
      <c r="S39" s="547">
        <f t="shared" si="20"/>
        <v>5.4431889290985875</v>
      </c>
      <c r="T39" s="547">
        <f t="shared" si="20"/>
        <v>5.4431889290985875</v>
      </c>
      <c r="U39" s="547">
        <f t="shared" si="20"/>
        <v>5.4431889290985875</v>
      </c>
      <c r="V39" s="547">
        <f t="shared" si="20"/>
        <v>5.4431889290985875</v>
      </c>
      <c r="W39" s="547">
        <f t="shared" si="20"/>
        <v>5.4431889290985875</v>
      </c>
      <c r="X39" s="547">
        <f t="shared" si="20"/>
        <v>5.4431889290985875</v>
      </c>
      <c r="Y39" s="547">
        <f t="shared" si="20"/>
        <v>5.4431889290985875</v>
      </c>
      <c r="Z39" s="547">
        <f t="shared" si="20"/>
        <v>5.4431889290985875</v>
      </c>
      <c r="AA39" s="547">
        <f t="shared" si="20"/>
        <v>5.4431889290985875</v>
      </c>
      <c r="AB39" s="548">
        <f t="shared" si="20"/>
        <v>5.4431889290985875</v>
      </c>
      <c r="AC39" s="549">
        <f t="shared" si="20"/>
        <v>3.8102322503690109</v>
      </c>
      <c r="AD39" s="547">
        <f t="shared" si="20"/>
        <v>4.0823916968239402</v>
      </c>
      <c r="AE39" s="547">
        <f t="shared" si="20"/>
        <v>4.0823916968239402</v>
      </c>
      <c r="AF39" s="547">
        <f t="shared" si="20"/>
        <v>4.0823916968239402</v>
      </c>
      <c r="AG39" s="547">
        <f t="shared" si="20"/>
        <v>5.1029896210299261</v>
      </c>
      <c r="AH39" s="547">
        <f t="shared" si="20"/>
        <v>5.1029896210299261</v>
      </c>
      <c r="AI39" s="547">
        <f t="shared" si="20"/>
        <v>5.1029896210299261</v>
      </c>
      <c r="AJ39" s="547">
        <f t="shared" si="20"/>
        <v>5.1029896210299261</v>
      </c>
      <c r="AK39" s="547">
        <f t="shared" si="20"/>
        <v>5.1029896210299261</v>
      </c>
      <c r="AL39" s="547">
        <f t="shared" si="20"/>
        <v>5.1029896210299261</v>
      </c>
      <c r="AM39" s="547">
        <f t="shared" si="20"/>
        <v>3.8306442088531307</v>
      </c>
      <c r="AN39" s="547">
        <f t="shared" si="20"/>
        <v>3.8306442088531307</v>
      </c>
      <c r="AO39" s="547">
        <f t="shared" si="20"/>
        <v>3.8306442088531307</v>
      </c>
      <c r="AP39" s="548">
        <f t="shared" si="20"/>
        <v>3.8306442088531307</v>
      </c>
      <c r="AQ39" s="549">
        <f t="shared" si="20"/>
        <v>3.8102322503690109</v>
      </c>
    </row>
    <row r="40" spans="1:43" x14ac:dyDescent="0.2">
      <c r="A40" s="546" t="s">
        <v>143</v>
      </c>
      <c r="B40" s="547">
        <f t="shared" ref="B40:AQ40" si="21">IF($B127&gt;=0.9, B$36,B$36*$B127)</f>
        <v>2.9009669460978227</v>
      </c>
      <c r="C40" s="547">
        <f t="shared" si="21"/>
        <v>2.9009669460978227</v>
      </c>
      <c r="D40" s="547">
        <f t="shared" si="21"/>
        <v>2.9009669460978227</v>
      </c>
      <c r="E40" s="547">
        <f t="shared" si="21"/>
        <v>2.9009669460978227</v>
      </c>
      <c r="F40" s="547">
        <f t="shared" si="21"/>
        <v>2.9009669460978227</v>
      </c>
      <c r="G40" s="547">
        <f t="shared" si="21"/>
        <v>2.9009669460978227</v>
      </c>
      <c r="H40" s="547">
        <f t="shared" si="21"/>
        <v>3.315390795540369</v>
      </c>
      <c r="I40" s="547">
        <f t="shared" si="21"/>
        <v>3.315390795540369</v>
      </c>
      <c r="J40" s="547">
        <f t="shared" si="21"/>
        <v>3.315390795540369</v>
      </c>
      <c r="K40" s="547">
        <f t="shared" si="21"/>
        <v>3.7298146449829153</v>
      </c>
      <c r="L40" s="547">
        <f t="shared" si="21"/>
        <v>3.7298146449829153</v>
      </c>
      <c r="M40" s="547">
        <f t="shared" si="21"/>
        <v>3.7298146449829153</v>
      </c>
      <c r="N40" s="547">
        <f t="shared" si="21"/>
        <v>4.1442384944254611</v>
      </c>
      <c r="O40" s="547">
        <f t="shared" si="21"/>
        <v>4.1442384944254611</v>
      </c>
      <c r="P40" s="547">
        <f t="shared" si="21"/>
        <v>4.1442384944254611</v>
      </c>
      <c r="Q40" s="547">
        <f t="shared" si="21"/>
        <v>4.1442384944254611</v>
      </c>
      <c r="R40" s="547">
        <f t="shared" si="21"/>
        <v>4.1442384944254611</v>
      </c>
      <c r="S40" s="547">
        <f t="shared" si="21"/>
        <v>4.1442384944254611</v>
      </c>
      <c r="T40" s="547">
        <f t="shared" si="21"/>
        <v>4.1442384944254611</v>
      </c>
      <c r="U40" s="547">
        <f t="shared" si="21"/>
        <v>4.1442384944254611</v>
      </c>
      <c r="V40" s="547">
        <f t="shared" si="21"/>
        <v>4.1442384944254611</v>
      </c>
      <c r="W40" s="547">
        <f t="shared" si="21"/>
        <v>4.1442384944254611</v>
      </c>
      <c r="X40" s="547">
        <f t="shared" si="21"/>
        <v>4.1442384944254611</v>
      </c>
      <c r="Y40" s="547">
        <f t="shared" si="21"/>
        <v>4.1442384944254611</v>
      </c>
      <c r="Z40" s="547">
        <f t="shared" si="21"/>
        <v>4.1442384944254611</v>
      </c>
      <c r="AA40" s="547">
        <f t="shared" si="21"/>
        <v>4.1442384944254611</v>
      </c>
      <c r="AB40" s="548">
        <f t="shared" si="21"/>
        <v>4.1442384944254611</v>
      </c>
      <c r="AC40" s="549">
        <f t="shared" si="21"/>
        <v>2.9009669460978227</v>
      </c>
      <c r="AD40" s="547">
        <f t="shared" si="21"/>
        <v>3.1081788708190956</v>
      </c>
      <c r="AE40" s="547">
        <f t="shared" si="21"/>
        <v>3.1081788708190956</v>
      </c>
      <c r="AF40" s="547">
        <f t="shared" si="21"/>
        <v>3.1081788708190956</v>
      </c>
      <c r="AG40" s="547">
        <f t="shared" si="21"/>
        <v>3.88522358852387</v>
      </c>
      <c r="AH40" s="547">
        <f t="shared" si="21"/>
        <v>3.88522358852387</v>
      </c>
      <c r="AI40" s="547">
        <f t="shared" si="21"/>
        <v>3.88522358852387</v>
      </c>
      <c r="AJ40" s="547">
        <f t="shared" si="21"/>
        <v>3.88522358852387</v>
      </c>
      <c r="AK40" s="547">
        <f t="shared" si="21"/>
        <v>3.88522358852387</v>
      </c>
      <c r="AL40" s="547">
        <f t="shared" si="21"/>
        <v>3.88522358852387</v>
      </c>
      <c r="AM40" s="547">
        <f t="shared" si="21"/>
        <v>2.916507840451918</v>
      </c>
      <c r="AN40" s="547">
        <f t="shared" si="21"/>
        <v>2.916507840451918</v>
      </c>
      <c r="AO40" s="547">
        <f t="shared" si="21"/>
        <v>2.916507840451918</v>
      </c>
      <c r="AP40" s="548">
        <f t="shared" si="21"/>
        <v>2.916507840451918</v>
      </c>
      <c r="AQ40" s="549">
        <f t="shared" si="21"/>
        <v>2.9009669460978227</v>
      </c>
    </row>
    <row r="41" spans="1:43" x14ac:dyDescent="0.2">
      <c r="A41" s="550" t="s">
        <v>144</v>
      </c>
      <c r="B41" s="547">
        <f t="shared" ref="B41:AQ41" si="22">IF($B128&gt;=0.9, B$36,B$36*$B128)</f>
        <v>2.9626419182867596</v>
      </c>
      <c r="C41" s="547">
        <f t="shared" si="22"/>
        <v>2.9626419182867596</v>
      </c>
      <c r="D41" s="547">
        <f t="shared" si="22"/>
        <v>2.9626419182867596</v>
      </c>
      <c r="E41" s="547">
        <f t="shared" si="22"/>
        <v>2.9626419182867596</v>
      </c>
      <c r="F41" s="547">
        <f t="shared" si="22"/>
        <v>2.9626419182867596</v>
      </c>
      <c r="G41" s="547">
        <f t="shared" si="22"/>
        <v>2.9626419182867596</v>
      </c>
      <c r="H41" s="547">
        <f t="shared" si="22"/>
        <v>3.385876478042011</v>
      </c>
      <c r="I41" s="547">
        <f t="shared" si="22"/>
        <v>3.385876478042011</v>
      </c>
      <c r="J41" s="547">
        <f t="shared" si="22"/>
        <v>3.385876478042011</v>
      </c>
      <c r="K41" s="547">
        <f t="shared" si="22"/>
        <v>3.8091110377972623</v>
      </c>
      <c r="L41" s="547">
        <f t="shared" si="22"/>
        <v>3.8091110377972623</v>
      </c>
      <c r="M41" s="547">
        <f t="shared" si="22"/>
        <v>3.8091110377972623</v>
      </c>
      <c r="N41" s="547">
        <f t="shared" si="22"/>
        <v>4.2323455975525137</v>
      </c>
      <c r="O41" s="547">
        <f t="shared" si="22"/>
        <v>4.2323455975525137</v>
      </c>
      <c r="P41" s="547">
        <f t="shared" si="22"/>
        <v>4.2323455975525137</v>
      </c>
      <c r="Q41" s="547">
        <f t="shared" si="22"/>
        <v>4.2323455975525137</v>
      </c>
      <c r="R41" s="547">
        <f t="shared" si="22"/>
        <v>4.2323455975525137</v>
      </c>
      <c r="S41" s="547">
        <f t="shared" si="22"/>
        <v>4.2323455975525137</v>
      </c>
      <c r="T41" s="547">
        <f t="shared" si="22"/>
        <v>4.2323455975525137</v>
      </c>
      <c r="U41" s="547">
        <f t="shared" si="22"/>
        <v>4.2323455975525137</v>
      </c>
      <c r="V41" s="547">
        <f t="shared" si="22"/>
        <v>4.2323455975525137</v>
      </c>
      <c r="W41" s="547">
        <f t="shared" si="22"/>
        <v>4.2323455975525137</v>
      </c>
      <c r="X41" s="547">
        <f t="shared" si="22"/>
        <v>4.2323455975525137</v>
      </c>
      <c r="Y41" s="547">
        <f t="shared" si="22"/>
        <v>4.2323455975525137</v>
      </c>
      <c r="Z41" s="547">
        <f t="shared" si="22"/>
        <v>4.2323455975525137</v>
      </c>
      <c r="AA41" s="547">
        <f t="shared" si="22"/>
        <v>4.2323455975525137</v>
      </c>
      <c r="AB41" s="548">
        <f t="shared" si="22"/>
        <v>4.2323455975525137</v>
      </c>
      <c r="AC41" s="549">
        <f t="shared" si="22"/>
        <v>2.9626419182867596</v>
      </c>
      <c r="AD41" s="547">
        <f t="shared" si="22"/>
        <v>3.1742591981643855</v>
      </c>
      <c r="AE41" s="547">
        <f t="shared" si="22"/>
        <v>3.1742591981643855</v>
      </c>
      <c r="AF41" s="547">
        <f t="shared" si="22"/>
        <v>3.1742591981643855</v>
      </c>
      <c r="AG41" s="547">
        <f t="shared" si="22"/>
        <v>3.9678239977054814</v>
      </c>
      <c r="AH41" s="547">
        <f t="shared" si="22"/>
        <v>3.9678239977054814</v>
      </c>
      <c r="AI41" s="547">
        <f t="shared" si="22"/>
        <v>3.9678239977054814</v>
      </c>
      <c r="AJ41" s="547">
        <f t="shared" si="22"/>
        <v>3.9678239977054814</v>
      </c>
      <c r="AK41" s="547">
        <f t="shared" si="22"/>
        <v>3.9678239977054814</v>
      </c>
      <c r="AL41" s="547">
        <f t="shared" si="22"/>
        <v>3.9678239977054814</v>
      </c>
      <c r="AM41" s="547">
        <f t="shared" si="22"/>
        <v>2.9785132142775814</v>
      </c>
      <c r="AN41" s="547">
        <f t="shared" si="22"/>
        <v>2.9785132142775814</v>
      </c>
      <c r="AO41" s="547">
        <f t="shared" si="22"/>
        <v>2.9785132142775814</v>
      </c>
      <c r="AP41" s="548">
        <f t="shared" si="22"/>
        <v>2.9785132142775814</v>
      </c>
      <c r="AQ41" s="549">
        <f t="shared" si="22"/>
        <v>2.9626419182867596</v>
      </c>
    </row>
    <row r="42" spans="1:43" x14ac:dyDescent="0.2">
      <c r="A42" s="550" t="s">
        <v>145</v>
      </c>
      <c r="B42" s="547">
        <f t="shared" ref="B42:AQ42" si="23">IF($B129&gt;=0.9, B$36,B$36*$B129)</f>
        <v>2.0005123521393395</v>
      </c>
      <c r="C42" s="547">
        <f t="shared" si="23"/>
        <v>2.0005123521393395</v>
      </c>
      <c r="D42" s="547">
        <f t="shared" si="23"/>
        <v>2.0005123521393395</v>
      </c>
      <c r="E42" s="547">
        <f t="shared" si="23"/>
        <v>2.0005123521393395</v>
      </c>
      <c r="F42" s="547">
        <f t="shared" si="23"/>
        <v>2.0005123521393395</v>
      </c>
      <c r="G42" s="547">
        <f t="shared" si="23"/>
        <v>2.0005123521393395</v>
      </c>
      <c r="H42" s="547">
        <f t="shared" si="23"/>
        <v>2.2862998310163882</v>
      </c>
      <c r="I42" s="547">
        <f t="shared" si="23"/>
        <v>2.2862998310163882</v>
      </c>
      <c r="J42" s="547">
        <f t="shared" si="23"/>
        <v>2.2862998310163882</v>
      </c>
      <c r="K42" s="547">
        <f t="shared" si="23"/>
        <v>2.5720873098934369</v>
      </c>
      <c r="L42" s="547">
        <f t="shared" si="23"/>
        <v>2.5720873098934369</v>
      </c>
      <c r="M42" s="547">
        <f t="shared" si="23"/>
        <v>2.5720873098934369</v>
      </c>
      <c r="N42" s="547">
        <f t="shared" si="23"/>
        <v>2.8578747887704852</v>
      </c>
      <c r="O42" s="547">
        <f t="shared" si="23"/>
        <v>2.8578747887704852</v>
      </c>
      <c r="P42" s="547">
        <f t="shared" si="23"/>
        <v>2.8578747887704852</v>
      </c>
      <c r="Q42" s="547">
        <f t="shared" si="23"/>
        <v>2.8578747887704852</v>
      </c>
      <c r="R42" s="547">
        <f t="shared" si="23"/>
        <v>2.8578747887704852</v>
      </c>
      <c r="S42" s="547">
        <f t="shared" si="23"/>
        <v>2.8578747887704852</v>
      </c>
      <c r="T42" s="547">
        <f t="shared" si="23"/>
        <v>2.8578747887704852</v>
      </c>
      <c r="U42" s="547">
        <f t="shared" si="23"/>
        <v>2.8578747887704852</v>
      </c>
      <c r="V42" s="547">
        <f t="shared" si="23"/>
        <v>2.8578747887704852</v>
      </c>
      <c r="W42" s="547">
        <f t="shared" si="23"/>
        <v>2.8578747887704852</v>
      </c>
      <c r="X42" s="547">
        <f t="shared" si="23"/>
        <v>2.8578747887704852</v>
      </c>
      <c r="Y42" s="547">
        <f t="shared" si="23"/>
        <v>2.8578747887704852</v>
      </c>
      <c r="Z42" s="547">
        <f t="shared" si="23"/>
        <v>2.8578747887704852</v>
      </c>
      <c r="AA42" s="547">
        <f t="shared" si="23"/>
        <v>2.8578747887704852</v>
      </c>
      <c r="AB42" s="548">
        <f t="shared" si="23"/>
        <v>2.8578747887704852</v>
      </c>
      <c r="AC42" s="549">
        <f t="shared" si="23"/>
        <v>2.0005123521393395</v>
      </c>
      <c r="AD42" s="547">
        <f t="shared" si="23"/>
        <v>2.1434060915778641</v>
      </c>
      <c r="AE42" s="547">
        <f t="shared" si="23"/>
        <v>2.1434060915778641</v>
      </c>
      <c r="AF42" s="547">
        <f t="shared" si="23"/>
        <v>2.1434060915778641</v>
      </c>
      <c r="AG42" s="547">
        <f t="shared" si="23"/>
        <v>2.6792576144723297</v>
      </c>
      <c r="AH42" s="547">
        <f t="shared" si="23"/>
        <v>2.6792576144723297</v>
      </c>
      <c r="AI42" s="547">
        <f t="shared" si="23"/>
        <v>2.6792576144723297</v>
      </c>
      <c r="AJ42" s="547">
        <f t="shared" si="23"/>
        <v>2.6792576144723297</v>
      </c>
      <c r="AK42" s="547">
        <f t="shared" si="23"/>
        <v>2.6792576144723297</v>
      </c>
      <c r="AL42" s="547">
        <f t="shared" si="23"/>
        <v>2.6792576144723297</v>
      </c>
      <c r="AM42" s="547">
        <f t="shared" si="23"/>
        <v>2.0112293825972287</v>
      </c>
      <c r="AN42" s="547">
        <f t="shared" si="23"/>
        <v>2.0112293825972287</v>
      </c>
      <c r="AO42" s="547">
        <f t="shared" si="23"/>
        <v>2.0112293825972287</v>
      </c>
      <c r="AP42" s="548">
        <f t="shared" si="23"/>
        <v>2.0112293825972287</v>
      </c>
      <c r="AQ42" s="549">
        <f t="shared" si="23"/>
        <v>2.0005123521393395</v>
      </c>
    </row>
    <row r="43" spans="1:43" x14ac:dyDescent="0.2">
      <c r="A43" s="551" t="s">
        <v>146</v>
      </c>
      <c r="B43" s="547">
        <f t="shared" ref="B43:AQ43" si="24">IF($B130&gt;=0.9, B$36,B$36*$B130)</f>
        <v>2.5671047869656589</v>
      </c>
      <c r="C43" s="547">
        <f t="shared" si="24"/>
        <v>2.5671047869656589</v>
      </c>
      <c r="D43" s="547">
        <f t="shared" si="24"/>
        <v>2.5671047869656589</v>
      </c>
      <c r="E43" s="547">
        <f t="shared" si="24"/>
        <v>2.5671047869656589</v>
      </c>
      <c r="F43" s="547">
        <f t="shared" si="24"/>
        <v>2.5671047869656589</v>
      </c>
      <c r="G43" s="547">
        <f t="shared" si="24"/>
        <v>2.5671047869656589</v>
      </c>
      <c r="H43" s="547">
        <f t="shared" si="24"/>
        <v>2.9338340422464677</v>
      </c>
      <c r="I43" s="547">
        <f t="shared" si="24"/>
        <v>2.9338340422464677</v>
      </c>
      <c r="J43" s="547">
        <f t="shared" si="24"/>
        <v>2.9338340422464677</v>
      </c>
      <c r="K43" s="547">
        <f t="shared" si="24"/>
        <v>3.3005632975272761</v>
      </c>
      <c r="L43" s="547">
        <f t="shared" si="24"/>
        <v>3.3005632975272761</v>
      </c>
      <c r="M43" s="547">
        <f t="shared" si="24"/>
        <v>3.3005632975272761</v>
      </c>
      <c r="N43" s="547">
        <f t="shared" si="24"/>
        <v>3.6672925528080844</v>
      </c>
      <c r="O43" s="547">
        <f t="shared" si="24"/>
        <v>3.6672925528080844</v>
      </c>
      <c r="P43" s="547">
        <f t="shared" si="24"/>
        <v>3.6672925528080844</v>
      </c>
      <c r="Q43" s="547">
        <f t="shared" si="24"/>
        <v>3.6672925528080844</v>
      </c>
      <c r="R43" s="547">
        <f t="shared" si="24"/>
        <v>3.6672925528080844</v>
      </c>
      <c r="S43" s="547">
        <f t="shared" si="24"/>
        <v>3.6672925528080844</v>
      </c>
      <c r="T43" s="547">
        <f t="shared" si="24"/>
        <v>3.6672925528080844</v>
      </c>
      <c r="U43" s="547">
        <f t="shared" si="24"/>
        <v>3.6672925528080844</v>
      </c>
      <c r="V43" s="547">
        <f t="shared" si="24"/>
        <v>3.6672925528080844</v>
      </c>
      <c r="W43" s="547">
        <f t="shared" si="24"/>
        <v>3.6672925528080844</v>
      </c>
      <c r="X43" s="547">
        <f t="shared" si="24"/>
        <v>3.6672925528080844</v>
      </c>
      <c r="Y43" s="547">
        <f t="shared" si="24"/>
        <v>3.6672925528080844</v>
      </c>
      <c r="Z43" s="547">
        <f t="shared" si="24"/>
        <v>3.6672925528080844</v>
      </c>
      <c r="AA43" s="547">
        <f t="shared" si="24"/>
        <v>3.6672925528080844</v>
      </c>
      <c r="AB43" s="548">
        <f t="shared" si="24"/>
        <v>3.6672925528080844</v>
      </c>
      <c r="AC43" s="549">
        <f t="shared" si="24"/>
        <v>2.5671047869656589</v>
      </c>
      <c r="AD43" s="547">
        <f t="shared" si="24"/>
        <v>2.7504694146060631</v>
      </c>
      <c r="AE43" s="547">
        <f t="shared" si="24"/>
        <v>2.7504694146060631</v>
      </c>
      <c r="AF43" s="547">
        <f t="shared" si="24"/>
        <v>2.7504694146060631</v>
      </c>
      <c r="AG43" s="547">
        <f t="shared" si="24"/>
        <v>3.4380867682575791</v>
      </c>
      <c r="AH43" s="547">
        <f t="shared" si="24"/>
        <v>3.4380867682575791</v>
      </c>
      <c r="AI43" s="547">
        <f t="shared" si="24"/>
        <v>3.4380867682575791</v>
      </c>
      <c r="AJ43" s="547">
        <f t="shared" si="24"/>
        <v>3.4380867682575791</v>
      </c>
      <c r="AK43" s="547">
        <f t="shared" si="24"/>
        <v>3.4380867682575791</v>
      </c>
      <c r="AL43" s="547">
        <f t="shared" si="24"/>
        <v>3.4380867682575791</v>
      </c>
      <c r="AM43" s="547">
        <f t="shared" si="24"/>
        <v>2.5808571340386894</v>
      </c>
      <c r="AN43" s="547">
        <f t="shared" si="24"/>
        <v>2.5808571340386894</v>
      </c>
      <c r="AO43" s="547">
        <f t="shared" si="24"/>
        <v>2.5808571340386894</v>
      </c>
      <c r="AP43" s="548">
        <f t="shared" si="24"/>
        <v>2.5808571340386894</v>
      </c>
      <c r="AQ43" s="549">
        <f t="shared" si="24"/>
        <v>2.5671047869656589</v>
      </c>
    </row>
    <row r="44" spans="1:43" x14ac:dyDescent="0.2">
      <c r="A44" s="550" t="s">
        <v>147</v>
      </c>
      <c r="B44" s="547">
        <f t="shared" ref="B44:AQ44" si="25">IF($B131&gt;=0.9, B$36,B$36*$B131)</f>
        <v>1.42645399962699</v>
      </c>
      <c r="C44" s="547">
        <f t="shared" si="25"/>
        <v>1.42645399962699</v>
      </c>
      <c r="D44" s="547">
        <f t="shared" si="25"/>
        <v>1.42645399962699</v>
      </c>
      <c r="E44" s="547">
        <f t="shared" si="25"/>
        <v>1.42645399962699</v>
      </c>
      <c r="F44" s="547">
        <f t="shared" si="25"/>
        <v>1.42645399962699</v>
      </c>
      <c r="G44" s="547">
        <f t="shared" si="25"/>
        <v>1.42645399962699</v>
      </c>
      <c r="H44" s="547">
        <f t="shared" si="25"/>
        <v>1.630233142430846</v>
      </c>
      <c r="I44" s="547">
        <f t="shared" si="25"/>
        <v>1.630233142430846</v>
      </c>
      <c r="J44" s="547">
        <f t="shared" si="25"/>
        <v>1.630233142430846</v>
      </c>
      <c r="K44" s="547">
        <f t="shared" si="25"/>
        <v>1.8340122852347016</v>
      </c>
      <c r="L44" s="547">
        <f t="shared" si="25"/>
        <v>1.8340122852347016</v>
      </c>
      <c r="M44" s="547">
        <f t="shared" si="25"/>
        <v>1.8340122852347016</v>
      </c>
      <c r="N44" s="547">
        <f t="shared" si="25"/>
        <v>2.0377914280385574</v>
      </c>
      <c r="O44" s="547">
        <f t="shared" si="25"/>
        <v>2.0377914280385574</v>
      </c>
      <c r="P44" s="547">
        <f t="shared" si="25"/>
        <v>2.0377914280385574</v>
      </c>
      <c r="Q44" s="547">
        <f t="shared" si="25"/>
        <v>2.0377914280385574</v>
      </c>
      <c r="R44" s="547">
        <f t="shared" si="25"/>
        <v>2.0377914280385574</v>
      </c>
      <c r="S44" s="547">
        <f t="shared" si="25"/>
        <v>2.0377914280385574</v>
      </c>
      <c r="T44" s="547">
        <f t="shared" si="25"/>
        <v>2.0377914280385574</v>
      </c>
      <c r="U44" s="547">
        <f t="shared" si="25"/>
        <v>2.0377914280385574</v>
      </c>
      <c r="V44" s="547">
        <f t="shared" si="25"/>
        <v>2.0377914280385574</v>
      </c>
      <c r="W44" s="547">
        <f t="shared" si="25"/>
        <v>2.0377914280385574</v>
      </c>
      <c r="X44" s="547">
        <f t="shared" si="25"/>
        <v>2.0377914280385574</v>
      </c>
      <c r="Y44" s="547">
        <f t="shared" si="25"/>
        <v>2.0377914280385574</v>
      </c>
      <c r="Z44" s="547">
        <f t="shared" si="25"/>
        <v>2.0377914280385574</v>
      </c>
      <c r="AA44" s="547">
        <f t="shared" si="25"/>
        <v>2.0377914280385574</v>
      </c>
      <c r="AB44" s="548">
        <f t="shared" si="25"/>
        <v>2.0377914280385574</v>
      </c>
      <c r="AC44" s="549">
        <f t="shared" si="25"/>
        <v>1.42645399962699</v>
      </c>
      <c r="AD44" s="547">
        <f t="shared" si="25"/>
        <v>1.5283435710289179</v>
      </c>
      <c r="AE44" s="547">
        <f t="shared" si="25"/>
        <v>1.5283435710289179</v>
      </c>
      <c r="AF44" s="547">
        <f t="shared" si="25"/>
        <v>1.5283435710289179</v>
      </c>
      <c r="AG44" s="547">
        <f t="shared" si="25"/>
        <v>1.9104294637861476</v>
      </c>
      <c r="AH44" s="547">
        <f t="shared" si="25"/>
        <v>1.9104294637861476</v>
      </c>
      <c r="AI44" s="547">
        <f t="shared" si="25"/>
        <v>1.9104294637861476</v>
      </c>
      <c r="AJ44" s="547">
        <f t="shared" si="25"/>
        <v>1.9104294637861476</v>
      </c>
      <c r="AK44" s="547">
        <f t="shared" si="25"/>
        <v>1.9104294637861476</v>
      </c>
      <c r="AL44" s="547">
        <f t="shared" si="25"/>
        <v>1.9104294637861476</v>
      </c>
      <c r="AM44" s="547">
        <f t="shared" si="25"/>
        <v>1.4340957174821347</v>
      </c>
      <c r="AN44" s="547">
        <f t="shared" si="25"/>
        <v>1.4340957174821347</v>
      </c>
      <c r="AO44" s="547">
        <f t="shared" si="25"/>
        <v>1.4340957174821347</v>
      </c>
      <c r="AP44" s="548">
        <f t="shared" si="25"/>
        <v>1.4340957174821347</v>
      </c>
      <c r="AQ44" s="549">
        <f t="shared" si="25"/>
        <v>1.42645399962699</v>
      </c>
    </row>
    <row r="45" spans="1:43" x14ac:dyDescent="0.2">
      <c r="A45" s="550" t="s">
        <v>148</v>
      </c>
      <c r="B45" s="547">
        <f>IF($B132&gt;=0.9, B$36,B$36*$B132)</f>
        <v>4.8100797717827293</v>
      </c>
      <c r="C45" s="547">
        <f>IF($B132&gt;=0.9, C$36,C$36*$B132)</f>
        <v>4.8100797717827293</v>
      </c>
      <c r="D45" s="547">
        <f>IF($B132&gt;=0.9, D$36,D$36*$B132)</f>
        <v>4.8100797717827293</v>
      </c>
      <c r="E45" s="547">
        <f t="shared" ref="E45:AQ45" si="26">IF($B132&gt;=0.9, E$36,E$36*$B132)</f>
        <v>4.8100797717827293</v>
      </c>
      <c r="F45" s="547">
        <f t="shared" si="26"/>
        <v>4.8100797717827293</v>
      </c>
      <c r="G45" s="547">
        <f t="shared" si="26"/>
        <v>4.8100797717827293</v>
      </c>
      <c r="H45" s="547">
        <f t="shared" si="26"/>
        <v>5.4972340248945484</v>
      </c>
      <c r="I45" s="547">
        <f t="shared" si="26"/>
        <v>5.4972340248945484</v>
      </c>
      <c r="J45" s="547">
        <f t="shared" si="26"/>
        <v>5.4972340248945484</v>
      </c>
      <c r="K45" s="547">
        <f t="shared" si="26"/>
        <v>6.1843882780063666</v>
      </c>
      <c r="L45" s="547">
        <f t="shared" si="26"/>
        <v>6.1843882780063666</v>
      </c>
      <c r="M45" s="547">
        <f t="shared" si="26"/>
        <v>6.1843882780063666</v>
      </c>
      <c r="N45" s="547">
        <f t="shared" si="26"/>
        <v>6.8715425311181848</v>
      </c>
      <c r="O45" s="547">
        <f t="shared" si="26"/>
        <v>6.8715425311181848</v>
      </c>
      <c r="P45" s="547">
        <f t="shared" si="26"/>
        <v>6.8715425311181848</v>
      </c>
      <c r="Q45" s="547">
        <f t="shared" si="26"/>
        <v>6.8715425311181848</v>
      </c>
      <c r="R45" s="547">
        <f t="shared" si="26"/>
        <v>6.8715425311181848</v>
      </c>
      <c r="S45" s="547">
        <f t="shared" si="26"/>
        <v>6.8715425311181848</v>
      </c>
      <c r="T45" s="547">
        <f t="shared" si="26"/>
        <v>6.8715425311181848</v>
      </c>
      <c r="U45" s="547">
        <f t="shared" si="26"/>
        <v>6.8715425311181848</v>
      </c>
      <c r="V45" s="547">
        <f t="shared" si="26"/>
        <v>6.8715425311181848</v>
      </c>
      <c r="W45" s="547">
        <f t="shared" si="26"/>
        <v>6.8715425311181848</v>
      </c>
      <c r="X45" s="547">
        <f t="shared" si="26"/>
        <v>6.8715425311181848</v>
      </c>
      <c r="Y45" s="547">
        <f t="shared" si="26"/>
        <v>6.8715425311181848</v>
      </c>
      <c r="Z45" s="547">
        <f t="shared" si="26"/>
        <v>6.8715425311181848</v>
      </c>
      <c r="AA45" s="547">
        <f t="shared" si="26"/>
        <v>6.8715425311181848</v>
      </c>
      <c r="AB45" s="548">
        <f t="shared" si="26"/>
        <v>6.8715425311181848</v>
      </c>
      <c r="AC45" s="549">
        <f t="shared" si="26"/>
        <v>4.8100797717827293</v>
      </c>
      <c r="AD45" s="547">
        <f t="shared" si="26"/>
        <v>5.1536568983386388</v>
      </c>
      <c r="AE45" s="547">
        <f t="shared" si="26"/>
        <v>5.1536568983386388</v>
      </c>
      <c r="AF45" s="547">
        <f t="shared" si="26"/>
        <v>5.1536568983386388</v>
      </c>
      <c r="AG45" s="547">
        <f t="shared" si="26"/>
        <v>6.4420711229232985</v>
      </c>
      <c r="AH45" s="547">
        <f t="shared" si="26"/>
        <v>6.4420711229232985</v>
      </c>
      <c r="AI45" s="547">
        <f t="shared" si="26"/>
        <v>6.4420711229232985</v>
      </c>
      <c r="AJ45" s="547">
        <f t="shared" si="26"/>
        <v>6.4420711229232985</v>
      </c>
      <c r="AK45" s="547">
        <f t="shared" si="26"/>
        <v>6.4420711229232985</v>
      </c>
      <c r="AL45" s="547">
        <f t="shared" si="26"/>
        <v>6.4420711229232985</v>
      </c>
      <c r="AM45" s="547">
        <f t="shared" si="26"/>
        <v>4.8358480562744228</v>
      </c>
      <c r="AN45" s="547">
        <f t="shared" si="26"/>
        <v>4.8358480562744228</v>
      </c>
      <c r="AO45" s="547">
        <f t="shared" si="26"/>
        <v>4.8358480562744228</v>
      </c>
      <c r="AP45" s="548">
        <f t="shared" si="26"/>
        <v>4.8358480562744228</v>
      </c>
      <c r="AQ45" s="549">
        <f t="shared" si="26"/>
        <v>4.8100797717827293</v>
      </c>
    </row>
    <row r="46" spans="1:43" x14ac:dyDescent="0.2">
      <c r="A46" s="550" t="s">
        <v>149</v>
      </c>
      <c r="B46" s="547">
        <f t="shared" ref="B46:AQ46" si="27">IF($B133&gt;=0.9, B$36,B$36*$B133)</f>
        <v>1.8419190395542853</v>
      </c>
      <c r="C46" s="547">
        <f t="shared" si="27"/>
        <v>1.8419190395542853</v>
      </c>
      <c r="D46" s="547">
        <f t="shared" si="27"/>
        <v>1.8419190395542853</v>
      </c>
      <c r="E46" s="547">
        <f t="shared" si="27"/>
        <v>1.8419190395542853</v>
      </c>
      <c r="F46" s="547">
        <f t="shared" si="27"/>
        <v>1.8419190395542853</v>
      </c>
      <c r="G46" s="547">
        <f t="shared" si="27"/>
        <v>1.8419190395542853</v>
      </c>
      <c r="H46" s="547">
        <f t="shared" si="27"/>
        <v>2.1050503309191835</v>
      </c>
      <c r="I46" s="547">
        <f t="shared" si="27"/>
        <v>2.1050503309191835</v>
      </c>
      <c r="J46" s="547">
        <f t="shared" si="27"/>
        <v>2.1050503309191835</v>
      </c>
      <c r="K46" s="547">
        <f t="shared" si="27"/>
        <v>2.368181622284081</v>
      </c>
      <c r="L46" s="547">
        <f t="shared" si="27"/>
        <v>2.368181622284081</v>
      </c>
      <c r="M46" s="547">
        <f t="shared" si="27"/>
        <v>2.368181622284081</v>
      </c>
      <c r="N46" s="547">
        <f t="shared" si="27"/>
        <v>2.631312913648979</v>
      </c>
      <c r="O46" s="547">
        <f t="shared" si="27"/>
        <v>2.631312913648979</v>
      </c>
      <c r="P46" s="547">
        <f t="shared" si="27"/>
        <v>2.631312913648979</v>
      </c>
      <c r="Q46" s="547">
        <f t="shared" si="27"/>
        <v>2.631312913648979</v>
      </c>
      <c r="R46" s="547">
        <f t="shared" si="27"/>
        <v>2.631312913648979</v>
      </c>
      <c r="S46" s="547">
        <f t="shared" si="27"/>
        <v>2.631312913648979</v>
      </c>
      <c r="T46" s="547">
        <f t="shared" si="27"/>
        <v>2.631312913648979</v>
      </c>
      <c r="U46" s="547">
        <f t="shared" si="27"/>
        <v>2.631312913648979</v>
      </c>
      <c r="V46" s="547">
        <f t="shared" si="27"/>
        <v>2.631312913648979</v>
      </c>
      <c r="W46" s="547">
        <f t="shared" si="27"/>
        <v>2.631312913648979</v>
      </c>
      <c r="X46" s="547">
        <f t="shared" si="27"/>
        <v>2.631312913648979</v>
      </c>
      <c r="Y46" s="547">
        <f t="shared" si="27"/>
        <v>2.631312913648979</v>
      </c>
      <c r="Z46" s="547">
        <f t="shared" si="27"/>
        <v>2.631312913648979</v>
      </c>
      <c r="AA46" s="547">
        <f t="shared" si="27"/>
        <v>2.631312913648979</v>
      </c>
      <c r="AB46" s="548">
        <f t="shared" si="27"/>
        <v>2.631312913648979</v>
      </c>
      <c r="AC46" s="549">
        <f t="shared" si="27"/>
        <v>1.8419190395542853</v>
      </c>
      <c r="AD46" s="547">
        <f t="shared" si="27"/>
        <v>1.9734846852367343</v>
      </c>
      <c r="AE46" s="547">
        <f t="shared" si="27"/>
        <v>1.9734846852367343</v>
      </c>
      <c r="AF46" s="547">
        <f t="shared" si="27"/>
        <v>1.9734846852367343</v>
      </c>
      <c r="AG46" s="547">
        <f t="shared" si="27"/>
        <v>2.466855856545918</v>
      </c>
      <c r="AH46" s="547">
        <f t="shared" si="27"/>
        <v>2.466855856545918</v>
      </c>
      <c r="AI46" s="547">
        <f t="shared" si="27"/>
        <v>2.466855856545918</v>
      </c>
      <c r="AJ46" s="547">
        <f t="shared" si="27"/>
        <v>2.466855856545918</v>
      </c>
      <c r="AK46" s="547">
        <f t="shared" si="27"/>
        <v>2.466855856545918</v>
      </c>
      <c r="AL46" s="547">
        <f t="shared" si="27"/>
        <v>2.466855856545918</v>
      </c>
      <c r="AM46" s="547">
        <f t="shared" si="27"/>
        <v>1.851786462980469</v>
      </c>
      <c r="AN46" s="547">
        <f t="shared" si="27"/>
        <v>1.851786462980469</v>
      </c>
      <c r="AO46" s="547">
        <f t="shared" si="27"/>
        <v>1.851786462980469</v>
      </c>
      <c r="AP46" s="548">
        <f t="shared" si="27"/>
        <v>1.851786462980469</v>
      </c>
      <c r="AQ46" s="549">
        <f t="shared" si="27"/>
        <v>1.8419190395542853</v>
      </c>
    </row>
    <row r="47" spans="1:43" s="17" customFormat="1" x14ac:dyDescent="0.2">
      <c r="A47" s="550" t="s">
        <v>150</v>
      </c>
      <c r="B47" s="547">
        <f>IF(B$13="Deploy",B$36,IF($B134&gt;=0.9, B$36,B$36*$B129))</f>
        <v>2.0005123521393395</v>
      </c>
      <c r="C47" s="547">
        <f t="shared" ref="C47:AQ47" si="28">IF(C$13="Deploy",C$36,IF($B134&gt;=0.9, C$36,C$36*$B129))</f>
        <v>2.0005123521393395</v>
      </c>
      <c r="D47" s="547">
        <f t="shared" si="28"/>
        <v>2.0005123521393395</v>
      </c>
      <c r="E47" s="547">
        <f t="shared" si="28"/>
        <v>2.0005123521393395</v>
      </c>
      <c r="F47" s="547">
        <f t="shared" si="28"/>
        <v>2.0005123521393395</v>
      </c>
      <c r="G47" s="547">
        <f t="shared" si="28"/>
        <v>2.0005123521393395</v>
      </c>
      <c r="H47" s="547">
        <f t="shared" si="28"/>
        <v>2.2862998310163882</v>
      </c>
      <c r="I47" s="547">
        <f t="shared" si="28"/>
        <v>2.2862998310163882</v>
      </c>
      <c r="J47" s="547">
        <f t="shared" si="28"/>
        <v>2.2862998310163882</v>
      </c>
      <c r="K47" s="547">
        <f t="shared" si="28"/>
        <v>2.5720873098934369</v>
      </c>
      <c r="L47" s="547">
        <f t="shared" si="28"/>
        <v>2.5720873098934369</v>
      </c>
      <c r="M47" s="547">
        <f t="shared" si="28"/>
        <v>2.5720873098934369</v>
      </c>
      <c r="N47" s="547">
        <f t="shared" si="28"/>
        <v>2.8578747887704852</v>
      </c>
      <c r="O47" s="547">
        <f t="shared" si="28"/>
        <v>2.8578747887704852</v>
      </c>
      <c r="P47" s="547">
        <f t="shared" si="28"/>
        <v>2.8578747887704852</v>
      </c>
      <c r="Q47" s="547">
        <f t="shared" si="28"/>
        <v>2.8578747887704852</v>
      </c>
      <c r="R47" s="547">
        <f t="shared" si="28"/>
        <v>8</v>
      </c>
      <c r="S47" s="547">
        <f t="shared" si="28"/>
        <v>8</v>
      </c>
      <c r="T47" s="547">
        <f t="shared" si="28"/>
        <v>8</v>
      </c>
      <c r="U47" s="547">
        <f t="shared" si="28"/>
        <v>8</v>
      </c>
      <c r="V47" s="547">
        <f t="shared" si="28"/>
        <v>8</v>
      </c>
      <c r="W47" s="547">
        <f t="shared" si="28"/>
        <v>8</v>
      </c>
      <c r="X47" s="547">
        <f t="shared" si="28"/>
        <v>2.8578747887704852</v>
      </c>
      <c r="Y47" s="547">
        <f t="shared" si="28"/>
        <v>2.8578747887704852</v>
      </c>
      <c r="Z47" s="547">
        <f t="shared" si="28"/>
        <v>2.8578747887704852</v>
      </c>
      <c r="AA47" s="547">
        <f t="shared" si="28"/>
        <v>2.8578747887704852</v>
      </c>
      <c r="AB47" s="548">
        <f t="shared" si="28"/>
        <v>2.8578747887704852</v>
      </c>
      <c r="AC47" s="549">
        <f>AC36</f>
        <v>5.6</v>
      </c>
      <c r="AD47" s="547">
        <f t="shared" ref="AD47:AP47" si="29">AD36</f>
        <v>6</v>
      </c>
      <c r="AE47" s="547">
        <f t="shared" si="29"/>
        <v>6</v>
      </c>
      <c r="AF47" s="547">
        <f t="shared" si="29"/>
        <v>6</v>
      </c>
      <c r="AG47" s="547">
        <f t="shared" si="29"/>
        <v>7.5</v>
      </c>
      <c r="AH47" s="547">
        <f t="shared" si="29"/>
        <v>7.5</v>
      </c>
      <c r="AI47" s="547">
        <f t="shared" si="29"/>
        <v>7.5</v>
      </c>
      <c r="AJ47" s="547">
        <f t="shared" si="29"/>
        <v>7.5</v>
      </c>
      <c r="AK47" s="547">
        <f t="shared" si="29"/>
        <v>7.5</v>
      </c>
      <c r="AL47" s="547">
        <f t="shared" si="29"/>
        <v>7.5</v>
      </c>
      <c r="AM47" s="547">
        <f t="shared" si="29"/>
        <v>5.63</v>
      </c>
      <c r="AN47" s="547">
        <f t="shared" si="29"/>
        <v>5.63</v>
      </c>
      <c r="AO47" s="547">
        <f t="shared" si="29"/>
        <v>5.63</v>
      </c>
      <c r="AP47" s="548">
        <f t="shared" si="29"/>
        <v>5.63</v>
      </c>
      <c r="AQ47" s="549">
        <f t="shared" si="28"/>
        <v>2.0005123521393395</v>
      </c>
    </row>
    <row r="48" spans="1:43" s="17" customFormat="1" ht="12.75" x14ac:dyDescent="0.2">
      <c r="A48" s="552" t="s">
        <v>151</v>
      </c>
      <c r="B48" s="547">
        <f t="shared" ref="B48:AQ48" si="30">IF($B135&gt;=0.9, B$36,B$36*$B135)</f>
        <v>5.6</v>
      </c>
      <c r="C48" s="547">
        <f t="shared" si="30"/>
        <v>5.6</v>
      </c>
      <c r="D48" s="547">
        <f t="shared" si="30"/>
        <v>5.6</v>
      </c>
      <c r="E48" s="547">
        <f t="shared" si="30"/>
        <v>5.6</v>
      </c>
      <c r="F48" s="547">
        <f t="shared" si="30"/>
        <v>5.6</v>
      </c>
      <c r="G48" s="547">
        <f t="shared" si="30"/>
        <v>5.6</v>
      </c>
      <c r="H48" s="547">
        <f t="shared" si="30"/>
        <v>6.4</v>
      </c>
      <c r="I48" s="547">
        <f t="shared" si="30"/>
        <v>6.4</v>
      </c>
      <c r="J48" s="547">
        <f t="shared" si="30"/>
        <v>6.4</v>
      </c>
      <c r="K48" s="547">
        <f t="shared" si="30"/>
        <v>7.2</v>
      </c>
      <c r="L48" s="547">
        <f t="shared" si="30"/>
        <v>7.2</v>
      </c>
      <c r="M48" s="547">
        <f t="shared" si="30"/>
        <v>7.2</v>
      </c>
      <c r="N48" s="547">
        <f t="shared" si="30"/>
        <v>8</v>
      </c>
      <c r="O48" s="547">
        <f t="shared" si="30"/>
        <v>8</v>
      </c>
      <c r="P48" s="547">
        <f t="shared" si="30"/>
        <v>8</v>
      </c>
      <c r="Q48" s="547">
        <f t="shared" si="30"/>
        <v>8</v>
      </c>
      <c r="R48" s="547">
        <f t="shared" si="30"/>
        <v>8</v>
      </c>
      <c r="S48" s="547">
        <f t="shared" si="30"/>
        <v>8</v>
      </c>
      <c r="T48" s="547">
        <f t="shared" si="30"/>
        <v>8</v>
      </c>
      <c r="U48" s="547">
        <f t="shared" si="30"/>
        <v>8</v>
      </c>
      <c r="V48" s="547">
        <f t="shared" si="30"/>
        <v>8</v>
      </c>
      <c r="W48" s="547">
        <f t="shared" si="30"/>
        <v>8</v>
      </c>
      <c r="X48" s="547">
        <f t="shared" si="30"/>
        <v>8</v>
      </c>
      <c r="Y48" s="547">
        <f t="shared" si="30"/>
        <v>8</v>
      </c>
      <c r="Z48" s="547">
        <f t="shared" si="30"/>
        <v>8</v>
      </c>
      <c r="AA48" s="547">
        <f t="shared" si="30"/>
        <v>8</v>
      </c>
      <c r="AB48" s="548">
        <f t="shared" si="30"/>
        <v>8</v>
      </c>
      <c r="AC48" s="549">
        <f t="shared" si="30"/>
        <v>5.6</v>
      </c>
      <c r="AD48" s="547">
        <f t="shared" si="30"/>
        <v>6</v>
      </c>
      <c r="AE48" s="547">
        <f t="shared" si="30"/>
        <v>6</v>
      </c>
      <c r="AF48" s="547">
        <f t="shared" si="30"/>
        <v>6</v>
      </c>
      <c r="AG48" s="547">
        <f t="shared" si="30"/>
        <v>7.5</v>
      </c>
      <c r="AH48" s="547">
        <f t="shared" si="30"/>
        <v>7.5</v>
      </c>
      <c r="AI48" s="547">
        <f t="shared" si="30"/>
        <v>7.5</v>
      </c>
      <c r="AJ48" s="547">
        <f t="shared" si="30"/>
        <v>7.5</v>
      </c>
      <c r="AK48" s="547">
        <f t="shared" si="30"/>
        <v>7.5</v>
      </c>
      <c r="AL48" s="547">
        <f t="shared" si="30"/>
        <v>7.5</v>
      </c>
      <c r="AM48" s="547">
        <f t="shared" si="30"/>
        <v>5.63</v>
      </c>
      <c r="AN48" s="547">
        <f t="shared" si="30"/>
        <v>5.63</v>
      </c>
      <c r="AO48" s="547">
        <f t="shared" si="30"/>
        <v>5.63</v>
      </c>
      <c r="AP48" s="548">
        <f t="shared" si="30"/>
        <v>5.63</v>
      </c>
      <c r="AQ48" s="549">
        <f t="shared" si="30"/>
        <v>5.6</v>
      </c>
    </row>
    <row r="49" spans="1:43" s="17" customFormat="1" x14ac:dyDescent="0.2">
      <c r="A49" s="543" t="s">
        <v>152</v>
      </c>
      <c r="B49" s="538"/>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93"/>
      <c r="AD49" s="30"/>
      <c r="AE49" s="30"/>
      <c r="AF49" s="30"/>
      <c r="AG49" s="30"/>
      <c r="AH49" s="30"/>
      <c r="AI49" s="30"/>
      <c r="AJ49" s="30"/>
      <c r="AK49" s="30"/>
      <c r="AL49" s="30"/>
      <c r="AM49" s="30"/>
      <c r="AN49" s="30"/>
      <c r="AO49" s="30"/>
      <c r="AP49" s="94"/>
      <c r="AQ49" s="554"/>
    </row>
    <row r="50" spans="1:43" s="17" customFormat="1" x14ac:dyDescent="0.2">
      <c r="A50" s="536" t="s">
        <v>153</v>
      </c>
      <c r="B50" s="537">
        <f>ROUND(B51/0.75,2)</f>
        <v>1.49</v>
      </c>
      <c r="C50" s="537">
        <f t="shared" ref="C50:Q50" si="31">ROUND(C51/0.75,2)</f>
        <v>1.49</v>
      </c>
      <c r="D50" s="537">
        <f t="shared" si="31"/>
        <v>1.49</v>
      </c>
      <c r="E50" s="537">
        <f t="shared" si="31"/>
        <v>1.49</v>
      </c>
      <c r="F50" s="537">
        <f t="shared" si="31"/>
        <v>1.49</v>
      </c>
      <c r="G50" s="537">
        <f t="shared" si="31"/>
        <v>1.49</v>
      </c>
      <c r="H50" s="537">
        <f t="shared" si="31"/>
        <v>3.41</v>
      </c>
      <c r="I50" s="537">
        <f t="shared" si="31"/>
        <v>3.41</v>
      </c>
      <c r="J50" s="537">
        <f t="shared" si="31"/>
        <v>3.41</v>
      </c>
      <c r="K50" s="537">
        <f t="shared" si="31"/>
        <v>5.28</v>
      </c>
      <c r="L50" s="537">
        <f t="shared" si="31"/>
        <v>5.28</v>
      </c>
      <c r="M50" s="537">
        <f t="shared" si="31"/>
        <v>5.28</v>
      </c>
      <c r="N50" s="537">
        <f t="shared" si="31"/>
        <v>6.4</v>
      </c>
      <c r="O50" s="537">
        <f t="shared" si="31"/>
        <v>6.4</v>
      </c>
      <c r="P50" s="537">
        <f t="shared" si="31"/>
        <v>6.4</v>
      </c>
      <c r="Q50" s="537">
        <f t="shared" si="31"/>
        <v>6.4</v>
      </c>
      <c r="R50" s="69">
        <v>10</v>
      </c>
      <c r="S50" s="69">
        <v>10</v>
      </c>
      <c r="T50" s="69">
        <v>10</v>
      </c>
      <c r="U50" s="69">
        <v>10</v>
      </c>
      <c r="V50" s="69">
        <v>10</v>
      </c>
      <c r="W50" s="69">
        <v>10</v>
      </c>
      <c r="X50" s="537">
        <f t="shared" ref="X50:AB50" si="32">ROUND(X51/0.75,2)</f>
        <v>6.4</v>
      </c>
      <c r="Y50" s="537">
        <f t="shared" si="32"/>
        <v>6.4</v>
      </c>
      <c r="Z50" s="537">
        <f t="shared" si="32"/>
        <v>6.4</v>
      </c>
      <c r="AA50" s="537">
        <f t="shared" si="32"/>
        <v>6.4</v>
      </c>
      <c r="AB50" s="538">
        <f t="shared" si="32"/>
        <v>6.4</v>
      </c>
      <c r="AC50" s="96">
        <v>2</v>
      </c>
      <c r="AD50" s="555">
        <v>6</v>
      </c>
      <c r="AE50" s="555">
        <v>6</v>
      </c>
      <c r="AF50" s="555">
        <v>6</v>
      </c>
      <c r="AG50" s="555">
        <v>10</v>
      </c>
      <c r="AH50" s="555">
        <v>10</v>
      </c>
      <c r="AI50" s="555">
        <v>10</v>
      </c>
      <c r="AJ50" s="555">
        <v>10</v>
      </c>
      <c r="AK50" s="555">
        <v>10</v>
      </c>
      <c r="AL50" s="555">
        <v>10</v>
      </c>
      <c r="AM50" s="555">
        <v>10</v>
      </c>
      <c r="AN50" s="555">
        <v>10</v>
      </c>
      <c r="AO50" s="555">
        <v>10</v>
      </c>
      <c r="AP50" s="556">
        <v>10</v>
      </c>
      <c r="AQ50" s="118">
        <f t="shared" ref="AQ50" si="33">ROUND(AQ51/0.75,2)</f>
        <v>1.49</v>
      </c>
    </row>
    <row r="51" spans="1:43" s="17" customFormat="1" x14ac:dyDescent="0.2">
      <c r="A51" s="536" t="s">
        <v>154</v>
      </c>
      <c r="B51" s="537">
        <f t="shared" ref="B51:Q51" si="34">ROUND(IF(B$36*VLOOKUP(B$13,$L$3:$O$7,4,FALSE)&lt;0.01,0.01,B$36*VLOOKUP(B$13,$L$3:$O$7,4,FALSE)),2)</f>
        <v>1.1200000000000001</v>
      </c>
      <c r="C51" s="537">
        <f t="shared" si="34"/>
        <v>1.1200000000000001</v>
      </c>
      <c r="D51" s="537">
        <f t="shared" si="34"/>
        <v>1.1200000000000001</v>
      </c>
      <c r="E51" s="537">
        <f t="shared" si="34"/>
        <v>1.1200000000000001</v>
      </c>
      <c r="F51" s="537">
        <f t="shared" si="34"/>
        <v>1.1200000000000001</v>
      </c>
      <c r="G51" s="537">
        <f t="shared" si="34"/>
        <v>1.1200000000000001</v>
      </c>
      <c r="H51" s="537">
        <f t="shared" si="34"/>
        <v>2.56</v>
      </c>
      <c r="I51" s="537">
        <f t="shared" si="34"/>
        <v>2.56</v>
      </c>
      <c r="J51" s="537">
        <f t="shared" si="34"/>
        <v>2.56</v>
      </c>
      <c r="K51" s="537">
        <f t="shared" si="34"/>
        <v>3.96</v>
      </c>
      <c r="L51" s="537">
        <f t="shared" si="34"/>
        <v>3.96</v>
      </c>
      <c r="M51" s="537">
        <f t="shared" si="34"/>
        <v>3.96</v>
      </c>
      <c r="N51" s="537">
        <f t="shared" si="34"/>
        <v>4.8</v>
      </c>
      <c r="O51" s="537">
        <f t="shared" si="34"/>
        <v>4.8</v>
      </c>
      <c r="P51" s="537">
        <f t="shared" si="34"/>
        <v>4.8</v>
      </c>
      <c r="Q51" s="537">
        <f t="shared" si="34"/>
        <v>4.8</v>
      </c>
      <c r="R51" s="555">
        <f>R50*0.75</f>
        <v>7.5</v>
      </c>
      <c r="S51" s="555">
        <f t="shared" ref="S51:W51" si="35">S50*0.75</f>
        <v>7.5</v>
      </c>
      <c r="T51" s="555">
        <f t="shared" si="35"/>
        <v>7.5</v>
      </c>
      <c r="U51" s="555">
        <f t="shared" si="35"/>
        <v>7.5</v>
      </c>
      <c r="V51" s="555">
        <f t="shared" si="35"/>
        <v>7.5</v>
      </c>
      <c r="W51" s="555">
        <f t="shared" si="35"/>
        <v>7.5</v>
      </c>
      <c r="X51" s="537">
        <f>ROUND(IF(X$36*VLOOKUP(X$13,$L$3:$O$7,4,FALSE)&lt;0.01,0.01,X$36*VLOOKUP(X$13,$L$3:$O$7,4,FALSE)),2)</f>
        <v>4.8</v>
      </c>
      <c r="Y51" s="537">
        <f>ROUND(IF(Y$36*VLOOKUP(Y$13,$L$3:$O$7,4,FALSE)&lt;0.01,0.01,Y$36*VLOOKUP(Y$13,$L$3:$O$7,4,FALSE)),2)</f>
        <v>4.8</v>
      </c>
      <c r="Z51" s="537">
        <f>ROUND(IF(Z$36*VLOOKUP(Z$13,$L$3:$O$7,4,FALSE)&lt;0.01,0.01,Z$36*VLOOKUP(Z$13,$L$3:$O$7,4,FALSE)),2)</f>
        <v>4.8</v>
      </c>
      <c r="AA51" s="537">
        <f>ROUND(IF(AA$36*VLOOKUP(AA$13,$L$3:$O$7,4,FALSE)&lt;0.01,0.01,AA$36*VLOOKUP(AA$13,$L$3:$O$7,4,FALSE)),2)</f>
        <v>4.8</v>
      </c>
      <c r="AB51" s="538">
        <f>ROUND(IF(AB$36*VLOOKUP(AB$13,$L$3:$O$7,4,FALSE)&lt;0.01,0.01,AB$36*VLOOKUP(AB$13,$L$3:$O$7,4,FALSE)),2)</f>
        <v>4.8</v>
      </c>
      <c r="AC51" s="95">
        <f>ROUND(IF(AC$36*$O$7&lt;0.01,0.01,AC$36*$O$7),2)</f>
        <v>3.36</v>
      </c>
      <c r="AD51" s="537">
        <f>ROUND(IF(AD$36*$O$7&lt;0.01,0.01,AD$36*$O$7),2)</f>
        <v>3.6</v>
      </c>
      <c r="AE51" s="537">
        <f>ROUND(IF(AE$36*$O$7&lt;0.01,0.01,AE$36*$O$7),2)</f>
        <v>3.6</v>
      </c>
      <c r="AF51" s="537">
        <f>ROUND(IF(AF$36*$O$7&lt;0.01,0.01,AF$36*$O$7),2)</f>
        <v>3.6</v>
      </c>
      <c r="AG51" s="555">
        <f>AG50*0.75</f>
        <v>7.5</v>
      </c>
      <c r="AH51" s="555">
        <f t="shared" ref="AH51:AP51" si="36">AH50*0.75</f>
        <v>7.5</v>
      </c>
      <c r="AI51" s="555">
        <f t="shared" si="36"/>
        <v>7.5</v>
      </c>
      <c r="AJ51" s="555">
        <f t="shared" si="36"/>
        <v>7.5</v>
      </c>
      <c r="AK51" s="555">
        <f t="shared" si="36"/>
        <v>7.5</v>
      </c>
      <c r="AL51" s="555">
        <f t="shared" si="36"/>
        <v>7.5</v>
      </c>
      <c r="AM51" s="555">
        <f t="shared" si="36"/>
        <v>7.5</v>
      </c>
      <c r="AN51" s="555">
        <f t="shared" si="36"/>
        <v>7.5</v>
      </c>
      <c r="AO51" s="555">
        <f t="shared" si="36"/>
        <v>7.5</v>
      </c>
      <c r="AP51" s="556">
        <f t="shared" si="36"/>
        <v>7.5</v>
      </c>
      <c r="AQ51" s="118">
        <f>ROUND(IF(AQ$36*$O$3&lt;0.01,0.01,AQ$36*$O$3),2)</f>
        <v>1.1200000000000001</v>
      </c>
    </row>
    <row r="52" spans="1:43" s="17" customFormat="1" ht="12.75" x14ac:dyDescent="0.2">
      <c r="A52" s="528" t="s">
        <v>155</v>
      </c>
      <c r="B52" s="557"/>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97"/>
      <c r="AD52" s="559"/>
      <c r="AE52" s="559"/>
      <c r="AF52" s="559"/>
      <c r="AG52" s="559"/>
      <c r="AH52" s="559"/>
      <c r="AI52" s="559"/>
      <c r="AJ52" s="559"/>
      <c r="AK52" s="559"/>
      <c r="AL52" s="559"/>
      <c r="AM52" s="559"/>
      <c r="AN52" s="559"/>
      <c r="AO52" s="559"/>
      <c r="AP52" s="560"/>
      <c r="AQ52" s="531"/>
    </row>
    <row r="53" spans="1:43" x14ac:dyDescent="0.2">
      <c r="A53" s="507" t="str">
        <f t="shared" ref="A53:A63" si="37">A86</f>
        <v>Pilot Upper Limit</v>
      </c>
      <c r="B53" s="20">
        <f t="shared" ref="B53:AQ53" si="38">$B$86</f>
        <v>40</v>
      </c>
      <c r="C53" s="20">
        <f t="shared" si="38"/>
        <v>40</v>
      </c>
      <c r="D53" s="20">
        <f t="shared" si="38"/>
        <v>40</v>
      </c>
      <c r="E53" s="20">
        <f t="shared" si="38"/>
        <v>40</v>
      </c>
      <c r="F53" s="20">
        <f t="shared" si="38"/>
        <v>40</v>
      </c>
      <c r="G53" s="20">
        <f t="shared" si="38"/>
        <v>40</v>
      </c>
      <c r="H53" s="20">
        <f t="shared" si="38"/>
        <v>40</v>
      </c>
      <c r="I53" s="20">
        <f t="shared" si="38"/>
        <v>40</v>
      </c>
      <c r="J53" s="20">
        <f t="shared" si="38"/>
        <v>40</v>
      </c>
      <c r="K53" s="20">
        <f t="shared" si="38"/>
        <v>40</v>
      </c>
      <c r="L53" s="20">
        <f t="shared" si="38"/>
        <v>40</v>
      </c>
      <c r="M53" s="20">
        <f t="shared" si="38"/>
        <v>40</v>
      </c>
      <c r="N53" s="20">
        <f t="shared" si="38"/>
        <v>40</v>
      </c>
      <c r="O53" s="20">
        <f t="shared" si="38"/>
        <v>40</v>
      </c>
      <c r="P53" s="20">
        <f t="shared" si="38"/>
        <v>40</v>
      </c>
      <c r="Q53" s="20">
        <f t="shared" si="38"/>
        <v>40</v>
      </c>
      <c r="R53" s="20">
        <f t="shared" si="38"/>
        <v>40</v>
      </c>
      <c r="S53" s="20">
        <f t="shared" si="38"/>
        <v>40</v>
      </c>
      <c r="T53" s="20">
        <f t="shared" si="38"/>
        <v>40</v>
      </c>
      <c r="U53" s="20">
        <f t="shared" si="38"/>
        <v>40</v>
      </c>
      <c r="V53" s="20">
        <f t="shared" si="38"/>
        <v>40</v>
      </c>
      <c r="W53" s="20">
        <f t="shared" si="38"/>
        <v>40</v>
      </c>
      <c r="X53" s="20">
        <f t="shared" si="38"/>
        <v>40</v>
      </c>
      <c r="Y53" s="20">
        <f t="shared" si="38"/>
        <v>40</v>
      </c>
      <c r="Z53" s="20">
        <f t="shared" si="38"/>
        <v>40</v>
      </c>
      <c r="AA53" s="20">
        <f t="shared" si="38"/>
        <v>40</v>
      </c>
      <c r="AB53" s="85">
        <f t="shared" si="38"/>
        <v>40</v>
      </c>
      <c r="AC53" s="98">
        <f t="shared" si="38"/>
        <v>40</v>
      </c>
      <c r="AD53" s="20">
        <f t="shared" si="38"/>
        <v>40</v>
      </c>
      <c r="AE53" s="20">
        <f t="shared" si="38"/>
        <v>40</v>
      </c>
      <c r="AF53" s="20">
        <f t="shared" si="38"/>
        <v>40</v>
      </c>
      <c r="AG53" s="20">
        <f t="shared" si="38"/>
        <v>40</v>
      </c>
      <c r="AH53" s="20">
        <f t="shared" si="38"/>
        <v>40</v>
      </c>
      <c r="AI53" s="20">
        <f t="shared" si="38"/>
        <v>40</v>
      </c>
      <c r="AJ53" s="20">
        <f t="shared" si="38"/>
        <v>40</v>
      </c>
      <c r="AK53" s="20">
        <f t="shared" si="38"/>
        <v>40</v>
      </c>
      <c r="AL53" s="20">
        <f t="shared" si="38"/>
        <v>40</v>
      </c>
      <c r="AM53" s="20">
        <f t="shared" si="38"/>
        <v>40</v>
      </c>
      <c r="AN53" s="20">
        <f t="shared" si="38"/>
        <v>40</v>
      </c>
      <c r="AO53" s="20">
        <f t="shared" si="38"/>
        <v>40</v>
      </c>
      <c r="AP53" s="99">
        <f t="shared" si="38"/>
        <v>40</v>
      </c>
      <c r="AQ53" s="561">
        <f t="shared" si="38"/>
        <v>40</v>
      </c>
    </row>
    <row r="54" spans="1:43" x14ac:dyDescent="0.2">
      <c r="A54" s="562" t="str">
        <f t="shared" si="37"/>
        <v>Pilot Lower Limit</v>
      </c>
      <c r="B54" s="563">
        <f t="shared" ref="B54:AQ54" si="39">ROUNDUP(IF(B$13="Deploy",MAX((B$80/100)*$B87,$B87),(B$80/100)*$B87),0)</f>
        <v>15</v>
      </c>
      <c r="C54" s="563">
        <f t="shared" si="39"/>
        <v>15</v>
      </c>
      <c r="D54" s="563">
        <f t="shared" si="39"/>
        <v>15</v>
      </c>
      <c r="E54" s="563">
        <f t="shared" si="39"/>
        <v>15</v>
      </c>
      <c r="F54" s="563">
        <f t="shared" si="39"/>
        <v>15</v>
      </c>
      <c r="G54" s="563">
        <f t="shared" si="39"/>
        <v>15</v>
      </c>
      <c r="H54" s="563">
        <f t="shared" si="39"/>
        <v>19</v>
      </c>
      <c r="I54" s="563">
        <f t="shared" si="39"/>
        <v>22</v>
      </c>
      <c r="J54" s="563">
        <f t="shared" si="39"/>
        <v>25</v>
      </c>
      <c r="K54" s="563">
        <f t="shared" si="39"/>
        <v>26</v>
      </c>
      <c r="L54" s="563">
        <f t="shared" si="39"/>
        <v>30</v>
      </c>
      <c r="M54" s="563">
        <f t="shared" si="39"/>
        <v>34</v>
      </c>
      <c r="N54" s="563">
        <f t="shared" si="39"/>
        <v>34</v>
      </c>
      <c r="O54" s="563">
        <f t="shared" si="39"/>
        <v>34</v>
      </c>
      <c r="P54" s="563">
        <f t="shared" si="39"/>
        <v>34</v>
      </c>
      <c r="Q54" s="563">
        <f t="shared" si="39"/>
        <v>34</v>
      </c>
      <c r="R54" s="563">
        <f t="shared" si="39"/>
        <v>40</v>
      </c>
      <c r="S54" s="563">
        <f t="shared" si="39"/>
        <v>40</v>
      </c>
      <c r="T54" s="563">
        <f t="shared" si="39"/>
        <v>40</v>
      </c>
      <c r="U54" s="563">
        <f t="shared" si="39"/>
        <v>40</v>
      </c>
      <c r="V54" s="563">
        <f t="shared" si="39"/>
        <v>40</v>
      </c>
      <c r="W54" s="563">
        <f t="shared" si="39"/>
        <v>40</v>
      </c>
      <c r="X54" s="563">
        <f t="shared" si="39"/>
        <v>38</v>
      </c>
      <c r="Y54" s="563">
        <f t="shared" si="39"/>
        <v>37</v>
      </c>
      <c r="Z54" s="563">
        <f t="shared" si="39"/>
        <v>34</v>
      </c>
      <c r="AA54" s="563">
        <f t="shared" si="39"/>
        <v>34</v>
      </c>
      <c r="AB54" s="564">
        <f t="shared" si="39"/>
        <v>33</v>
      </c>
      <c r="AC54" s="135">
        <f t="shared" si="39"/>
        <v>15</v>
      </c>
      <c r="AD54" s="564">
        <f t="shared" si="39"/>
        <v>19</v>
      </c>
      <c r="AE54" s="564">
        <f t="shared" si="39"/>
        <v>22</v>
      </c>
      <c r="AF54" s="564">
        <f t="shared" si="39"/>
        <v>25</v>
      </c>
      <c r="AG54" s="564">
        <f t="shared" si="39"/>
        <v>26</v>
      </c>
      <c r="AH54" s="564">
        <f t="shared" si="39"/>
        <v>30</v>
      </c>
      <c r="AI54" s="564">
        <f t="shared" si="39"/>
        <v>34</v>
      </c>
      <c r="AJ54" s="564">
        <f t="shared" si="39"/>
        <v>34</v>
      </c>
      <c r="AK54" s="564">
        <f t="shared" si="39"/>
        <v>34</v>
      </c>
      <c r="AL54" s="564">
        <f t="shared" si="39"/>
        <v>34</v>
      </c>
      <c r="AM54" s="564">
        <f t="shared" si="39"/>
        <v>37</v>
      </c>
      <c r="AN54" s="564">
        <f t="shared" si="39"/>
        <v>34</v>
      </c>
      <c r="AO54" s="564">
        <f t="shared" si="39"/>
        <v>34</v>
      </c>
      <c r="AP54" s="565">
        <f t="shared" si="39"/>
        <v>33</v>
      </c>
      <c r="AQ54" s="566">
        <f t="shared" si="39"/>
        <v>15</v>
      </c>
    </row>
    <row r="55" spans="1:43" x14ac:dyDescent="0.2">
      <c r="A55" s="507" t="str">
        <f t="shared" si="37"/>
        <v>Aircrew Upper Limit</v>
      </c>
      <c r="B55" s="567">
        <f t="shared" ref="B55:AQ55" si="40">$B$88</f>
        <v>20</v>
      </c>
      <c r="C55" s="567">
        <f t="shared" si="40"/>
        <v>20</v>
      </c>
      <c r="D55" s="567">
        <f t="shared" si="40"/>
        <v>20</v>
      </c>
      <c r="E55" s="567">
        <f t="shared" si="40"/>
        <v>20</v>
      </c>
      <c r="F55" s="567">
        <f t="shared" si="40"/>
        <v>20</v>
      </c>
      <c r="G55" s="567">
        <f t="shared" si="40"/>
        <v>20</v>
      </c>
      <c r="H55" s="567">
        <f t="shared" si="40"/>
        <v>20</v>
      </c>
      <c r="I55" s="567">
        <f t="shared" si="40"/>
        <v>20</v>
      </c>
      <c r="J55" s="567">
        <f t="shared" si="40"/>
        <v>20</v>
      </c>
      <c r="K55" s="567">
        <f t="shared" si="40"/>
        <v>20</v>
      </c>
      <c r="L55" s="567">
        <f t="shared" si="40"/>
        <v>20</v>
      </c>
      <c r="M55" s="567">
        <f t="shared" si="40"/>
        <v>20</v>
      </c>
      <c r="N55" s="567">
        <f t="shared" si="40"/>
        <v>20</v>
      </c>
      <c r="O55" s="567">
        <f t="shared" si="40"/>
        <v>20</v>
      </c>
      <c r="P55" s="567">
        <f t="shared" si="40"/>
        <v>20</v>
      </c>
      <c r="Q55" s="567">
        <f t="shared" si="40"/>
        <v>20</v>
      </c>
      <c r="R55" s="567">
        <f t="shared" si="40"/>
        <v>20</v>
      </c>
      <c r="S55" s="567">
        <f t="shared" si="40"/>
        <v>20</v>
      </c>
      <c r="T55" s="567">
        <f t="shared" si="40"/>
        <v>20</v>
      </c>
      <c r="U55" s="567">
        <f t="shared" si="40"/>
        <v>20</v>
      </c>
      <c r="V55" s="567">
        <f t="shared" si="40"/>
        <v>20</v>
      </c>
      <c r="W55" s="567">
        <f t="shared" si="40"/>
        <v>20</v>
      </c>
      <c r="X55" s="567">
        <f t="shared" si="40"/>
        <v>20</v>
      </c>
      <c r="Y55" s="567">
        <f t="shared" si="40"/>
        <v>20</v>
      </c>
      <c r="Z55" s="567">
        <f t="shared" si="40"/>
        <v>20</v>
      </c>
      <c r="AA55" s="567">
        <f t="shared" si="40"/>
        <v>20</v>
      </c>
      <c r="AB55" s="568">
        <f t="shared" si="40"/>
        <v>20</v>
      </c>
      <c r="AC55" s="101">
        <f t="shared" si="40"/>
        <v>20</v>
      </c>
      <c r="AD55" s="567">
        <f t="shared" si="40"/>
        <v>20</v>
      </c>
      <c r="AE55" s="567">
        <f t="shared" si="40"/>
        <v>20</v>
      </c>
      <c r="AF55" s="567">
        <f t="shared" si="40"/>
        <v>20</v>
      </c>
      <c r="AG55" s="567">
        <f t="shared" si="40"/>
        <v>20</v>
      </c>
      <c r="AH55" s="567">
        <f t="shared" si="40"/>
        <v>20</v>
      </c>
      <c r="AI55" s="567">
        <f t="shared" si="40"/>
        <v>20</v>
      </c>
      <c r="AJ55" s="567">
        <f t="shared" si="40"/>
        <v>20</v>
      </c>
      <c r="AK55" s="567">
        <f t="shared" si="40"/>
        <v>20</v>
      </c>
      <c r="AL55" s="567">
        <f t="shared" si="40"/>
        <v>20</v>
      </c>
      <c r="AM55" s="567">
        <f t="shared" si="40"/>
        <v>20</v>
      </c>
      <c r="AN55" s="567">
        <f t="shared" si="40"/>
        <v>20</v>
      </c>
      <c r="AO55" s="567">
        <f t="shared" si="40"/>
        <v>20</v>
      </c>
      <c r="AP55" s="569">
        <f t="shared" si="40"/>
        <v>20</v>
      </c>
      <c r="AQ55" s="570">
        <f t="shared" si="40"/>
        <v>20</v>
      </c>
    </row>
    <row r="56" spans="1:43" x14ac:dyDescent="0.2">
      <c r="A56" s="562" t="str">
        <f t="shared" si="37"/>
        <v>Aircrew Lower Limit</v>
      </c>
      <c r="B56" s="563">
        <f t="shared" ref="B56:AQ56" si="41">ROUNDUP(IF(B$13="Deploy",MAX((B$80/100)*$B89,$B89),(B$80/100)*$B89),0)</f>
        <v>8</v>
      </c>
      <c r="C56" s="563">
        <f t="shared" si="41"/>
        <v>8</v>
      </c>
      <c r="D56" s="563">
        <f t="shared" si="41"/>
        <v>8</v>
      </c>
      <c r="E56" s="563">
        <f t="shared" si="41"/>
        <v>8</v>
      </c>
      <c r="F56" s="563">
        <f t="shared" si="41"/>
        <v>8</v>
      </c>
      <c r="G56" s="563">
        <f t="shared" si="41"/>
        <v>8</v>
      </c>
      <c r="H56" s="563">
        <f t="shared" si="41"/>
        <v>10</v>
      </c>
      <c r="I56" s="563">
        <f t="shared" si="41"/>
        <v>11</v>
      </c>
      <c r="J56" s="563">
        <f t="shared" si="41"/>
        <v>13</v>
      </c>
      <c r="K56" s="563">
        <f t="shared" si="41"/>
        <v>13</v>
      </c>
      <c r="L56" s="563">
        <f t="shared" si="41"/>
        <v>15</v>
      </c>
      <c r="M56" s="563">
        <f t="shared" si="41"/>
        <v>17</v>
      </c>
      <c r="N56" s="563">
        <f t="shared" si="41"/>
        <v>17</v>
      </c>
      <c r="O56" s="563">
        <f t="shared" si="41"/>
        <v>17</v>
      </c>
      <c r="P56" s="563">
        <f t="shared" si="41"/>
        <v>17</v>
      </c>
      <c r="Q56" s="563">
        <f t="shared" si="41"/>
        <v>17</v>
      </c>
      <c r="R56" s="563">
        <f t="shared" si="41"/>
        <v>20</v>
      </c>
      <c r="S56" s="563">
        <f t="shared" si="41"/>
        <v>20</v>
      </c>
      <c r="T56" s="563">
        <f t="shared" si="41"/>
        <v>20</v>
      </c>
      <c r="U56" s="563">
        <f t="shared" si="41"/>
        <v>20</v>
      </c>
      <c r="V56" s="563">
        <f t="shared" si="41"/>
        <v>20</v>
      </c>
      <c r="W56" s="563">
        <f t="shared" si="41"/>
        <v>20</v>
      </c>
      <c r="X56" s="563">
        <f t="shared" si="41"/>
        <v>19</v>
      </c>
      <c r="Y56" s="563">
        <f t="shared" si="41"/>
        <v>19</v>
      </c>
      <c r="Z56" s="563">
        <f t="shared" si="41"/>
        <v>17</v>
      </c>
      <c r="AA56" s="563">
        <f t="shared" si="41"/>
        <v>17</v>
      </c>
      <c r="AB56" s="564">
        <f t="shared" si="41"/>
        <v>17</v>
      </c>
      <c r="AC56" s="100">
        <f t="shared" si="41"/>
        <v>8</v>
      </c>
      <c r="AD56" s="563">
        <f t="shared" si="41"/>
        <v>10</v>
      </c>
      <c r="AE56" s="563">
        <f t="shared" si="41"/>
        <v>11</v>
      </c>
      <c r="AF56" s="563">
        <f t="shared" si="41"/>
        <v>13</v>
      </c>
      <c r="AG56" s="563">
        <f t="shared" si="41"/>
        <v>13</v>
      </c>
      <c r="AH56" s="563">
        <f t="shared" si="41"/>
        <v>15</v>
      </c>
      <c r="AI56" s="563">
        <f t="shared" si="41"/>
        <v>17</v>
      </c>
      <c r="AJ56" s="563">
        <f t="shared" si="41"/>
        <v>17</v>
      </c>
      <c r="AK56" s="563">
        <f t="shared" si="41"/>
        <v>17</v>
      </c>
      <c r="AL56" s="563">
        <f t="shared" si="41"/>
        <v>17</v>
      </c>
      <c r="AM56" s="563">
        <f t="shared" si="41"/>
        <v>19</v>
      </c>
      <c r="AN56" s="563">
        <f t="shared" si="41"/>
        <v>17</v>
      </c>
      <c r="AO56" s="563">
        <f t="shared" si="41"/>
        <v>17</v>
      </c>
      <c r="AP56" s="565">
        <f t="shared" si="41"/>
        <v>17</v>
      </c>
      <c r="AQ56" s="566">
        <f t="shared" si="41"/>
        <v>8</v>
      </c>
    </row>
    <row r="57" spans="1:43" x14ac:dyDescent="0.2">
      <c r="A57" s="562" t="str">
        <f t="shared" si="37"/>
        <v>&gt; L4 Pilots</v>
      </c>
      <c r="B57" s="563">
        <f t="shared" ref="B57:AQ57" si="42">ROUNDUP(IF(B$13="Deploy",MAX((B$80/100)*$B90,$B90),(B$80/100)*$B90),0)</f>
        <v>3</v>
      </c>
      <c r="C57" s="563">
        <f t="shared" si="42"/>
        <v>3</v>
      </c>
      <c r="D57" s="563">
        <f t="shared" si="42"/>
        <v>3</v>
      </c>
      <c r="E57" s="563">
        <f t="shared" si="42"/>
        <v>3</v>
      </c>
      <c r="F57" s="563">
        <f t="shared" si="42"/>
        <v>3</v>
      </c>
      <c r="G57" s="563">
        <f t="shared" si="42"/>
        <v>3</v>
      </c>
      <c r="H57" s="563">
        <f t="shared" si="42"/>
        <v>4</v>
      </c>
      <c r="I57" s="563">
        <f t="shared" si="42"/>
        <v>4</v>
      </c>
      <c r="J57" s="563">
        <f t="shared" si="42"/>
        <v>5</v>
      </c>
      <c r="K57" s="563">
        <f t="shared" si="42"/>
        <v>5</v>
      </c>
      <c r="L57" s="563">
        <f t="shared" si="42"/>
        <v>6</v>
      </c>
      <c r="M57" s="563">
        <f t="shared" si="42"/>
        <v>6</v>
      </c>
      <c r="N57" s="563">
        <f t="shared" si="42"/>
        <v>6</v>
      </c>
      <c r="O57" s="563">
        <f t="shared" si="42"/>
        <v>6</v>
      </c>
      <c r="P57" s="563">
        <f t="shared" si="42"/>
        <v>6</v>
      </c>
      <c r="Q57" s="563">
        <f t="shared" si="42"/>
        <v>6</v>
      </c>
      <c r="R57" s="563">
        <f t="shared" si="42"/>
        <v>7</v>
      </c>
      <c r="S57" s="563">
        <f t="shared" si="42"/>
        <v>7</v>
      </c>
      <c r="T57" s="563">
        <f t="shared" si="42"/>
        <v>7</v>
      </c>
      <c r="U57" s="563">
        <f t="shared" si="42"/>
        <v>7</v>
      </c>
      <c r="V57" s="563">
        <f t="shared" si="42"/>
        <v>7</v>
      </c>
      <c r="W57" s="563">
        <f t="shared" si="42"/>
        <v>7</v>
      </c>
      <c r="X57" s="563">
        <f t="shared" si="42"/>
        <v>7</v>
      </c>
      <c r="Y57" s="563">
        <f t="shared" si="42"/>
        <v>7</v>
      </c>
      <c r="Z57" s="563">
        <f t="shared" si="42"/>
        <v>6</v>
      </c>
      <c r="AA57" s="563">
        <f t="shared" si="42"/>
        <v>6</v>
      </c>
      <c r="AB57" s="564">
        <f t="shared" si="42"/>
        <v>6</v>
      </c>
      <c r="AC57" s="100">
        <f t="shared" si="42"/>
        <v>3</v>
      </c>
      <c r="AD57" s="563">
        <f t="shared" si="42"/>
        <v>4</v>
      </c>
      <c r="AE57" s="563">
        <f t="shared" si="42"/>
        <v>4</v>
      </c>
      <c r="AF57" s="563">
        <f t="shared" si="42"/>
        <v>5</v>
      </c>
      <c r="AG57" s="563">
        <f t="shared" si="42"/>
        <v>5</v>
      </c>
      <c r="AH57" s="563">
        <f t="shared" si="42"/>
        <v>6</v>
      </c>
      <c r="AI57" s="563">
        <f t="shared" si="42"/>
        <v>6</v>
      </c>
      <c r="AJ57" s="563">
        <f t="shared" si="42"/>
        <v>6</v>
      </c>
      <c r="AK57" s="563">
        <f t="shared" si="42"/>
        <v>6</v>
      </c>
      <c r="AL57" s="563">
        <f t="shared" si="42"/>
        <v>6</v>
      </c>
      <c r="AM57" s="563">
        <f t="shared" si="42"/>
        <v>7</v>
      </c>
      <c r="AN57" s="563">
        <f t="shared" si="42"/>
        <v>6</v>
      </c>
      <c r="AO57" s="563">
        <f t="shared" si="42"/>
        <v>6</v>
      </c>
      <c r="AP57" s="565">
        <f t="shared" si="42"/>
        <v>6</v>
      </c>
      <c r="AQ57" s="566">
        <f t="shared" si="42"/>
        <v>3</v>
      </c>
    </row>
    <row r="58" spans="1:43" s="21" customFormat="1" x14ac:dyDescent="0.2">
      <c r="A58" s="562" t="str">
        <f t="shared" si="37"/>
        <v>&gt; L3 Pilots</v>
      </c>
      <c r="B58" s="563">
        <f t="shared" ref="B58:AQ58" si="43">ROUNDUP(IF(B$13="Deploy",MAX((B$80/100)*$B91,$B91),(B$80/100)*$B91),0)</f>
        <v>6</v>
      </c>
      <c r="C58" s="563">
        <f t="shared" si="43"/>
        <v>6</v>
      </c>
      <c r="D58" s="563">
        <f t="shared" si="43"/>
        <v>6</v>
      </c>
      <c r="E58" s="563">
        <f t="shared" si="43"/>
        <v>6</v>
      </c>
      <c r="F58" s="563">
        <f t="shared" si="43"/>
        <v>6</v>
      </c>
      <c r="G58" s="563">
        <f t="shared" si="43"/>
        <v>6</v>
      </c>
      <c r="H58" s="563">
        <f t="shared" si="43"/>
        <v>8</v>
      </c>
      <c r="I58" s="563">
        <f t="shared" si="43"/>
        <v>9</v>
      </c>
      <c r="J58" s="563">
        <f t="shared" si="43"/>
        <v>10</v>
      </c>
      <c r="K58" s="563">
        <f t="shared" si="43"/>
        <v>11</v>
      </c>
      <c r="L58" s="563">
        <f t="shared" si="43"/>
        <v>12</v>
      </c>
      <c r="M58" s="563">
        <f t="shared" si="43"/>
        <v>14</v>
      </c>
      <c r="N58" s="563">
        <f t="shared" si="43"/>
        <v>14</v>
      </c>
      <c r="O58" s="563">
        <f t="shared" si="43"/>
        <v>14</v>
      </c>
      <c r="P58" s="563">
        <f t="shared" si="43"/>
        <v>14</v>
      </c>
      <c r="Q58" s="563">
        <f t="shared" si="43"/>
        <v>14</v>
      </c>
      <c r="R58" s="563">
        <f t="shared" si="43"/>
        <v>16</v>
      </c>
      <c r="S58" s="563">
        <f t="shared" si="43"/>
        <v>16</v>
      </c>
      <c r="T58" s="563">
        <f t="shared" si="43"/>
        <v>16</v>
      </c>
      <c r="U58" s="563">
        <f t="shared" si="43"/>
        <v>16</v>
      </c>
      <c r="V58" s="563">
        <f t="shared" si="43"/>
        <v>16</v>
      </c>
      <c r="W58" s="563">
        <f t="shared" si="43"/>
        <v>16</v>
      </c>
      <c r="X58" s="563">
        <f t="shared" si="43"/>
        <v>16</v>
      </c>
      <c r="Y58" s="563">
        <f t="shared" si="43"/>
        <v>15</v>
      </c>
      <c r="Z58" s="563">
        <f t="shared" si="43"/>
        <v>14</v>
      </c>
      <c r="AA58" s="563">
        <f t="shared" si="43"/>
        <v>14</v>
      </c>
      <c r="AB58" s="564">
        <f t="shared" si="43"/>
        <v>13</v>
      </c>
      <c r="AC58" s="100">
        <f t="shared" si="43"/>
        <v>6</v>
      </c>
      <c r="AD58" s="563">
        <f t="shared" si="43"/>
        <v>8</v>
      </c>
      <c r="AE58" s="563">
        <f t="shared" si="43"/>
        <v>9</v>
      </c>
      <c r="AF58" s="563">
        <f t="shared" si="43"/>
        <v>10</v>
      </c>
      <c r="AG58" s="563">
        <f t="shared" si="43"/>
        <v>11</v>
      </c>
      <c r="AH58" s="563">
        <f t="shared" si="43"/>
        <v>12</v>
      </c>
      <c r="AI58" s="563">
        <f t="shared" si="43"/>
        <v>14</v>
      </c>
      <c r="AJ58" s="563">
        <f t="shared" si="43"/>
        <v>14</v>
      </c>
      <c r="AK58" s="563">
        <f t="shared" si="43"/>
        <v>14</v>
      </c>
      <c r="AL58" s="563">
        <f t="shared" si="43"/>
        <v>14</v>
      </c>
      <c r="AM58" s="563">
        <f t="shared" si="43"/>
        <v>15</v>
      </c>
      <c r="AN58" s="563">
        <f t="shared" si="43"/>
        <v>14</v>
      </c>
      <c r="AO58" s="563">
        <f t="shared" si="43"/>
        <v>14</v>
      </c>
      <c r="AP58" s="565">
        <f t="shared" si="43"/>
        <v>13</v>
      </c>
      <c r="AQ58" s="566">
        <f t="shared" si="43"/>
        <v>6</v>
      </c>
    </row>
    <row r="59" spans="1:43" s="21" customFormat="1" x14ac:dyDescent="0.2">
      <c r="A59" s="562" t="str">
        <f t="shared" si="37"/>
        <v>&gt; L2 Pilots</v>
      </c>
      <c r="B59" s="563">
        <f t="shared" ref="B59:AQ59" si="44">ROUNDUP(IF(B$13="Deploy",MAX((B$80/100)*$B92,$B92),(B$80/100)*$B92),0)</f>
        <v>12</v>
      </c>
      <c r="C59" s="563">
        <f t="shared" si="44"/>
        <v>12</v>
      </c>
      <c r="D59" s="563">
        <f t="shared" si="44"/>
        <v>12</v>
      </c>
      <c r="E59" s="563">
        <f t="shared" si="44"/>
        <v>12</v>
      </c>
      <c r="F59" s="563">
        <f t="shared" si="44"/>
        <v>12</v>
      </c>
      <c r="G59" s="563">
        <f t="shared" si="44"/>
        <v>12</v>
      </c>
      <c r="H59" s="563">
        <f t="shared" si="44"/>
        <v>15</v>
      </c>
      <c r="I59" s="563">
        <f t="shared" si="44"/>
        <v>18</v>
      </c>
      <c r="J59" s="563">
        <f t="shared" si="44"/>
        <v>20</v>
      </c>
      <c r="K59" s="563">
        <f t="shared" si="44"/>
        <v>21</v>
      </c>
      <c r="L59" s="563">
        <f t="shared" si="44"/>
        <v>24</v>
      </c>
      <c r="M59" s="563">
        <f t="shared" si="44"/>
        <v>28</v>
      </c>
      <c r="N59" s="563">
        <f t="shared" si="44"/>
        <v>28</v>
      </c>
      <c r="O59" s="563">
        <f t="shared" si="44"/>
        <v>28</v>
      </c>
      <c r="P59" s="563">
        <f t="shared" si="44"/>
        <v>28</v>
      </c>
      <c r="Q59" s="563">
        <f t="shared" si="44"/>
        <v>28</v>
      </c>
      <c r="R59" s="563">
        <f t="shared" si="44"/>
        <v>32</v>
      </c>
      <c r="S59" s="563">
        <f t="shared" si="44"/>
        <v>32</v>
      </c>
      <c r="T59" s="563">
        <f t="shared" si="44"/>
        <v>32</v>
      </c>
      <c r="U59" s="563">
        <f t="shared" si="44"/>
        <v>32</v>
      </c>
      <c r="V59" s="563">
        <f t="shared" si="44"/>
        <v>32</v>
      </c>
      <c r="W59" s="563">
        <f t="shared" si="44"/>
        <v>32</v>
      </c>
      <c r="X59" s="563">
        <f t="shared" si="44"/>
        <v>31</v>
      </c>
      <c r="Y59" s="563">
        <f t="shared" si="44"/>
        <v>30</v>
      </c>
      <c r="Z59" s="563">
        <f t="shared" si="44"/>
        <v>28</v>
      </c>
      <c r="AA59" s="563">
        <f t="shared" si="44"/>
        <v>27</v>
      </c>
      <c r="AB59" s="564">
        <f t="shared" si="44"/>
        <v>26</v>
      </c>
      <c r="AC59" s="100">
        <f t="shared" si="44"/>
        <v>12</v>
      </c>
      <c r="AD59" s="563">
        <f t="shared" si="44"/>
        <v>15</v>
      </c>
      <c r="AE59" s="563">
        <f t="shared" si="44"/>
        <v>18</v>
      </c>
      <c r="AF59" s="563">
        <f t="shared" si="44"/>
        <v>20</v>
      </c>
      <c r="AG59" s="563">
        <f t="shared" si="44"/>
        <v>21</v>
      </c>
      <c r="AH59" s="563">
        <f t="shared" si="44"/>
        <v>24</v>
      </c>
      <c r="AI59" s="563">
        <f t="shared" si="44"/>
        <v>28</v>
      </c>
      <c r="AJ59" s="563">
        <f t="shared" si="44"/>
        <v>28</v>
      </c>
      <c r="AK59" s="563">
        <f t="shared" si="44"/>
        <v>28</v>
      </c>
      <c r="AL59" s="563">
        <f t="shared" si="44"/>
        <v>28</v>
      </c>
      <c r="AM59" s="563">
        <f t="shared" si="44"/>
        <v>30</v>
      </c>
      <c r="AN59" s="563">
        <f t="shared" si="44"/>
        <v>28</v>
      </c>
      <c r="AO59" s="563">
        <f t="shared" si="44"/>
        <v>27</v>
      </c>
      <c r="AP59" s="565">
        <f t="shared" si="44"/>
        <v>26</v>
      </c>
      <c r="AQ59" s="566">
        <f t="shared" si="44"/>
        <v>12</v>
      </c>
    </row>
    <row r="60" spans="1:43" s="21" customFormat="1" x14ac:dyDescent="0.2">
      <c r="A60" s="562" t="str">
        <f t="shared" si="37"/>
        <v>&gt; L1 Pilots</v>
      </c>
      <c r="B60" s="563">
        <f t="shared" ref="B60:AQ60" si="45">ROUNDUP(IF(B$13="Deploy",MAX((B$80/100)*$B93,$B93),(B$80/100)*$B93),0)</f>
        <v>12</v>
      </c>
      <c r="C60" s="563">
        <f t="shared" si="45"/>
        <v>12</v>
      </c>
      <c r="D60" s="563">
        <f t="shared" si="45"/>
        <v>12</v>
      </c>
      <c r="E60" s="563">
        <f t="shared" si="45"/>
        <v>12</v>
      </c>
      <c r="F60" s="563">
        <f t="shared" si="45"/>
        <v>12</v>
      </c>
      <c r="G60" s="563">
        <f t="shared" si="45"/>
        <v>12</v>
      </c>
      <c r="H60" s="563">
        <f t="shared" si="45"/>
        <v>15</v>
      </c>
      <c r="I60" s="563">
        <f t="shared" si="45"/>
        <v>18</v>
      </c>
      <c r="J60" s="563">
        <f t="shared" si="45"/>
        <v>20</v>
      </c>
      <c r="K60" s="563">
        <f t="shared" si="45"/>
        <v>21</v>
      </c>
      <c r="L60" s="563">
        <f t="shared" si="45"/>
        <v>24</v>
      </c>
      <c r="M60" s="563">
        <f t="shared" si="45"/>
        <v>28</v>
      </c>
      <c r="N60" s="563">
        <f t="shared" si="45"/>
        <v>28</v>
      </c>
      <c r="O60" s="563">
        <f t="shared" si="45"/>
        <v>28</v>
      </c>
      <c r="P60" s="563">
        <f t="shared" si="45"/>
        <v>28</v>
      </c>
      <c r="Q60" s="563">
        <f t="shared" si="45"/>
        <v>28</v>
      </c>
      <c r="R60" s="563">
        <f t="shared" si="45"/>
        <v>32</v>
      </c>
      <c r="S60" s="563">
        <f t="shared" si="45"/>
        <v>32</v>
      </c>
      <c r="T60" s="563">
        <f t="shared" si="45"/>
        <v>32</v>
      </c>
      <c r="U60" s="563">
        <f t="shared" si="45"/>
        <v>32</v>
      </c>
      <c r="V60" s="563">
        <f t="shared" si="45"/>
        <v>32</v>
      </c>
      <c r="W60" s="563">
        <f t="shared" si="45"/>
        <v>32</v>
      </c>
      <c r="X60" s="563">
        <f t="shared" si="45"/>
        <v>31</v>
      </c>
      <c r="Y60" s="563">
        <f t="shared" si="45"/>
        <v>30</v>
      </c>
      <c r="Z60" s="563">
        <f t="shared" si="45"/>
        <v>28</v>
      </c>
      <c r="AA60" s="563">
        <f t="shared" si="45"/>
        <v>27</v>
      </c>
      <c r="AB60" s="564">
        <f t="shared" si="45"/>
        <v>26</v>
      </c>
      <c r="AC60" s="100">
        <f t="shared" si="45"/>
        <v>12</v>
      </c>
      <c r="AD60" s="563">
        <f t="shared" si="45"/>
        <v>15</v>
      </c>
      <c r="AE60" s="563">
        <f t="shared" si="45"/>
        <v>18</v>
      </c>
      <c r="AF60" s="563">
        <f t="shared" si="45"/>
        <v>20</v>
      </c>
      <c r="AG60" s="563">
        <f t="shared" si="45"/>
        <v>21</v>
      </c>
      <c r="AH60" s="563">
        <f t="shared" si="45"/>
        <v>24</v>
      </c>
      <c r="AI60" s="563">
        <f t="shared" si="45"/>
        <v>28</v>
      </c>
      <c r="AJ60" s="563">
        <f t="shared" si="45"/>
        <v>28</v>
      </c>
      <c r="AK60" s="563">
        <f t="shared" si="45"/>
        <v>28</v>
      </c>
      <c r="AL60" s="563">
        <f t="shared" si="45"/>
        <v>28</v>
      </c>
      <c r="AM60" s="563">
        <f t="shared" si="45"/>
        <v>30</v>
      </c>
      <c r="AN60" s="563">
        <f t="shared" si="45"/>
        <v>28</v>
      </c>
      <c r="AO60" s="563">
        <f t="shared" si="45"/>
        <v>27</v>
      </c>
      <c r="AP60" s="565">
        <f t="shared" si="45"/>
        <v>26</v>
      </c>
      <c r="AQ60" s="566">
        <f t="shared" si="45"/>
        <v>12</v>
      </c>
    </row>
    <row r="61" spans="1:43" s="21" customFormat="1" x14ac:dyDescent="0.2">
      <c r="A61" s="562" t="str">
        <f t="shared" si="37"/>
        <v>&gt; L3 Crewman</v>
      </c>
      <c r="B61" s="563">
        <f t="shared" ref="B61:AQ61" si="46">ROUNDUP(IF(B$13="Deploy",MAX((B$80/100)*$B94,$B94),(B$80/100)*$B94),0)</f>
        <v>3</v>
      </c>
      <c r="C61" s="563">
        <f t="shared" si="46"/>
        <v>3</v>
      </c>
      <c r="D61" s="563">
        <f t="shared" si="46"/>
        <v>3</v>
      </c>
      <c r="E61" s="563">
        <f t="shared" si="46"/>
        <v>3</v>
      </c>
      <c r="F61" s="563">
        <f t="shared" si="46"/>
        <v>3</v>
      </c>
      <c r="G61" s="563">
        <f t="shared" si="46"/>
        <v>3</v>
      </c>
      <c r="H61" s="563">
        <f t="shared" si="46"/>
        <v>4</v>
      </c>
      <c r="I61" s="563">
        <f t="shared" si="46"/>
        <v>4</v>
      </c>
      <c r="J61" s="563">
        <f t="shared" si="46"/>
        <v>5</v>
      </c>
      <c r="K61" s="563">
        <f t="shared" si="46"/>
        <v>5</v>
      </c>
      <c r="L61" s="563">
        <f t="shared" si="46"/>
        <v>6</v>
      </c>
      <c r="M61" s="563">
        <f t="shared" si="46"/>
        <v>6</v>
      </c>
      <c r="N61" s="563">
        <f t="shared" si="46"/>
        <v>6</v>
      </c>
      <c r="O61" s="563">
        <f t="shared" si="46"/>
        <v>6</v>
      </c>
      <c r="P61" s="563">
        <f t="shared" si="46"/>
        <v>6</v>
      </c>
      <c r="Q61" s="563">
        <f t="shared" si="46"/>
        <v>6</v>
      </c>
      <c r="R61" s="563">
        <f t="shared" si="46"/>
        <v>7</v>
      </c>
      <c r="S61" s="563">
        <f t="shared" si="46"/>
        <v>7</v>
      </c>
      <c r="T61" s="563">
        <f t="shared" si="46"/>
        <v>7</v>
      </c>
      <c r="U61" s="563">
        <f t="shared" si="46"/>
        <v>7</v>
      </c>
      <c r="V61" s="563">
        <f t="shared" si="46"/>
        <v>7</v>
      </c>
      <c r="W61" s="563">
        <f t="shared" si="46"/>
        <v>7</v>
      </c>
      <c r="X61" s="563">
        <f t="shared" si="46"/>
        <v>7</v>
      </c>
      <c r="Y61" s="563">
        <f t="shared" si="46"/>
        <v>7</v>
      </c>
      <c r="Z61" s="563">
        <f t="shared" si="46"/>
        <v>6</v>
      </c>
      <c r="AA61" s="563">
        <f t="shared" si="46"/>
        <v>6</v>
      </c>
      <c r="AB61" s="564">
        <f t="shared" si="46"/>
        <v>6</v>
      </c>
      <c r="AC61" s="100">
        <f t="shared" si="46"/>
        <v>3</v>
      </c>
      <c r="AD61" s="563">
        <f t="shared" si="46"/>
        <v>4</v>
      </c>
      <c r="AE61" s="563">
        <f t="shared" si="46"/>
        <v>4</v>
      </c>
      <c r="AF61" s="563">
        <f t="shared" si="46"/>
        <v>5</v>
      </c>
      <c r="AG61" s="563">
        <f t="shared" si="46"/>
        <v>5</v>
      </c>
      <c r="AH61" s="563">
        <f t="shared" si="46"/>
        <v>6</v>
      </c>
      <c r="AI61" s="563">
        <f t="shared" si="46"/>
        <v>6</v>
      </c>
      <c r="AJ61" s="563">
        <f t="shared" si="46"/>
        <v>6</v>
      </c>
      <c r="AK61" s="563">
        <f t="shared" si="46"/>
        <v>6</v>
      </c>
      <c r="AL61" s="563">
        <f t="shared" si="46"/>
        <v>6</v>
      </c>
      <c r="AM61" s="563">
        <f t="shared" si="46"/>
        <v>7</v>
      </c>
      <c r="AN61" s="563">
        <f t="shared" si="46"/>
        <v>6</v>
      </c>
      <c r="AO61" s="563">
        <f t="shared" si="46"/>
        <v>6</v>
      </c>
      <c r="AP61" s="565">
        <f t="shared" si="46"/>
        <v>6</v>
      </c>
      <c r="AQ61" s="566">
        <f t="shared" si="46"/>
        <v>3</v>
      </c>
    </row>
    <row r="62" spans="1:43" s="21" customFormat="1" x14ac:dyDescent="0.2">
      <c r="A62" s="562" t="str">
        <f t="shared" si="37"/>
        <v xml:space="preserve">&gt; L2 Crewman </v>
      </c>
      <c r="B62" s="563">
        <f t="shared" ref="B62:D65" si="47">ROUNDUP(IF(B$13="Deploy",MAX((B$80/100)*$B95,$B95),(B$80/100)*$B95),0)</f>
        <v>6</v>
      </c>
      <c r="C62" s="563">
        <f t="shared" si="47"/>
        <v>6</v>
      </c>
      <c r="D62" s="563">
        <f t="shared" si="47"/>
        <v>6</v>
      </c>
      <c r="E62" s="563">
        <f t="shared" ref="E62:AQ62" si="48">ROUNDUP(IF(E$13="Deploy",MAX((E$80/100)*$B95,$B95),(E$80/100)*$B95),0)</f>
        <v>6</v>
      </c>
      <c r="F62" s="563">
        <f t="shared" si="48"/>
        <v>6</v>
      </c>
      <c r="G62" s="563">
        <f t="shared" si="48"/>
        <v>6</v>
      </c>
      <c r="H62" s="563">
        <f t="shared" si="48"/>
        <v>8</v>
      </c>
      <c r="I62" s="563">
        <f t="shared" si="48"/>
        <v>9</v>
      </c>
      <c r="J62" s="563">
        <f t="shared" si="48"/>
        <v>10</v>
      </c>
      <c r="K62" s="563">
        <f t="shared" si="48"/>
        <v>11</v>
      </c>
      <c r="L62" s="563">
        <f t="shared" si="48"/>
        <v>12</v>
      </c>
      <c r="M62" s="563">
        <f t="shared" si="48"/>
        <v>14</v>
      </c>
      <c r="N62" s="563">
        <f t="shared" si="48"/>
        <v>14</v>
      </c>
      <c r="O62" s="563">
        <f t="shared" si="48"/>
        <v>14</v>
      </c>
      <c r="P62" s="563">
        <f t="shared" si="48"/>
        <v>14</v>
      </c>
      <c r="Q62" s="563">
        <f t="shared" si="48"/>
        <v>14</v>
      </c>
      <c r="R62" s="563">
        <f t="shared" si="48"/>
        <v>16</v>
      </c>
      <c r="S62" s="563">
        <f t="shared" si="48"/>
        <v>16</v>
      </c>
      <c r="T62" s="563">
        <f t="shared" si="48"/>
        <v>16</v>
      </c>
      <c r="U62" s="563">
        <f t="shared" si="48"/>
        <v>16</v>
      </c>
      <c r="V62" s="563">
        <f t="shared" si="48"/>
        <v>16</v>
      </c>
      <c r="W62" s="563">
        <f t="shared" si="48"/>
        <v>16</v>
      </c>
      <c r="X62" s="563">
        <f t="shared" si="48"/>
        <v>16</v>
      </c>
      <c r="Y62" s="563">
        <f t="shared" si="48"/>
        <v>15</v>
      </c>
      <c r="Z62" s="563">
        <f t="shared" si="48"/>
        <v>14</v>
      </c>
      <c r="AA62" s="563">
        <f t="shared" si="48"/>
        <v>14</v>
      </c>
      <c r="AB62" s="564">
        <f t="shared" si="48"/>
        <v>13</v>
      </c>
      <c r="AC62" s="100">
        <f t="shared" si="48"/>
        <v>6</v>
      </c>
      <c r="AD62" s="563">
        <f t="shared" si="48"/>
        <v>8</v>
      </c>
      <c r="AE62" s="563">
        <f t="shared" si="48"/>
        <v>9</v>
      </c>
      <c r="AF62" s="563">
        <f t="shared" si="48"/>
        <v>10</v>
      </c>
      <c r="AG62" s="563">
        <f t="shared" si="48"/>
        <v>11</v>
      </c>
      <c r="AH62" s="563">
        <f t="shared" si="48"/>
        <v>12</v>
      </c>
      <c r="AI62" s="563">
        <f t="shared" si="48"/>
        <v>14</v>
      </c>
      <c r="AJ62" s="563">
        <f t="shared" si="48"/>
        <v>14</v>
      </c>
      <c r="AK62" s="563">
        <f t="shared" si="48"/>
        <v>14</v>
      </c>
      <c r="AL62" s="563">
        <f t="shared" si="48"/>
        <v>14</v>
      </c>
      <c r="AM62" s="563">
        <f t="shared" si="48"/>
        <v>15</v>
      </c>
      <c r="AN62" s="563">
        <f t="shared" si="48"/>
        <v>14</v>
      </c>
      <c r="AO62" s="563">
        <f t="shared" si="48"/>
        <v>14</v>
      </c>
      <c r="AP62" s="565">
        <f t="shared" si="48"/>
        <v>13</v>
      </c>
      <c r="AQ62" s="566">
        <f t="shared" si="48"/>
        <v>6</v>
      </c>
    </row>
    <row r="63" spans="1:43" x14ac:dyDescent="0.2">
      <c r="A63" s="562" t="str">
        <f t="shared" si="37"/>
        <v xml:space="preserve">&gt; L1 Crewman </v>
      </c>
      <c r="B63" s="563">
        <f t="shared" si="47"/>
        <v>6</v>
      </c>
      <c r="C63" s="563">
        <f t="shared" si="47"/>
        <v>6</v>
      </c>
      <c r="D63" s="563">
        <f t="shared" si="47"/>
        <v>6</v>
      </c>
      <c r="E63" s="563">
        <f t="shared" ref="E63:AQ63" si="49">ROUNDUP(IF(E$13="Deploy",MAX((E$80/100)*$B96,$B96),(E$80/100)*$B96),0)</f>
        <v>6</v>
      </c>
      <c r="F63" s="563">
        <f t="shared" si="49"/>
        <v>6</v>
      </c>
      <c r="G63" s="563">
        <f t="shared" si="49"/>
        <v>6</v>
      </c>
      <c r="H63" s="563">
        <f t="shared" si="49"/>
        <v>8</v>
      </c>
      <c r="I63" s="563">
        <f t="shared" si="49"/>
        <v>9</v>
      </c>
      <c r="J63" s="563">
        <f t="shared" si="49"/>
        <v>10</v>
      </c>
      <c r="K63" s="563">
        <f t="shared" si="49"/>
        <v>11</v>
      </c>
      <c r="L63" s="563">
        <f t="shared" si="49"/>
        <v>12</v>
      </c>
      <c r="M63" s="563">
        <f t="shared" si="49"/>
        <v>14</v>
      </c>
      <c r="N63" s="563">
        <f t="shared" si="49"/>
        <v>14</v>
      </c>
      <c r="O63" s="563">
        <f t="shared" si="49"/>
        <v>14</v>
      </c>
      <c r="P63" s="563">
        <f t="shared" si="49"/>
        <v>14</v>
      </c>
      <c r="Q63" s="563">
        <f t="shared" si="49"/>
        <v>14</v>
      </c>
      <c r="R63" s="563">
        <f t="shared" si="49"/>
        <v>16</v>
      </c>
      <c r="S63" s="563">
        <f t="shared" si="49"/>
        <v>16</v>
      </c>
      <c r="T63" s="563">
        <f t="shared" si="49"/>
        <v>16</v>
      </c>
      <c r="U63" s="563">
        <f t="shared" si="49"/>
        <v>16</v>
      </c>
      <c r="V63" s="563">
        <f t="shared" si="49"/>
        <v>16</v>
      </c>
      <c r="W63" s="563">
        <f t="shared" si="49"/>
        <v>16</v>
      </c>
      <c r="X63" s="563">
        <f t="shared" si="49"/>
        <v>16</v>
      </c>
      <c r="Y63" s="563">
        <f t="shared" si="49"/>
        <v>15</v>
      </c>
      <c r="Z63" s="563">
        <f t="shared" si="49"/>
        <v>14</v>
      </c>
      <c r="AA63" s="563">
        <f t="shared" si="49"/>
        <v>14</v>
      </c>
      <c r="AB63" s="564">
        <f t="shared" si="49"/>
        <v>13</v>
      </c>
      <c r="AC63" s="100">
        <f t="shared" si="49"/>
        <v>6</v>
      </c>
      <c r="AD63" s="563">
        <f t="shared" si="49"/>
        <v>8</v>
      </c>
      <c r="AE63" s="563">
        <f t="shared" si="49"/>
        <v>9</v>
      </c>
      <c r="AF63" s="563">
        <f t="shared" si="49"/>
        <v>10</v>
      </c>
      <c r="AG63" s="563">
        <f t="shared" si="49"/>
        <v>11</v>
      </c>
      <c r="AH63" s="563">
        <f t="shared" si="49"/>
        <v>12</v>
      </c>
      <c r="AI63" s="563">
        <f t="shared" si="49"/>
        <v>14</v>
      </c>
      <c r="AJ63" s="563">
        <f t="shared" si="49"/>
        <v>14</v>
      </c>
      <c r="AK63" s="563">
        <f t="shared" si="49"/>
        <v>14</v>
      </c>
      <c r="AL63" s="563">
        <f t="shared" si="49"/>
        <v>14</v>
      </c>
      <c r="AM63" s="563">
        <f t="shared" si="49"/>
        <v>15</v>
      </c>
      <c r="AN63" s="563">
        <f t="shared" si="49"/>
        <v>14</v>
      </c>
      <c r="AO63" s="563">
        <f t="shared" si="49"/>
        <v>14</v>
      </c>
      <c r="AP63" s="565">
        <f t="shared" si="49"/>
        <v>13</v>
      </c>
      <c r="AQ63" s="566">
        <f t="shared" si="49"/>
        <v>6</v>
      </c>
    </row>
    <row r="64" spans="1:43" x14ac:dyDescent="0.2">
      <c r="A64" s="562" t="str">
        <f>A97</f>
        <v>DLQ Current HACS</v>
      </c>
      <c r="B64" s="563">
        <f t="shared" si="47"/>
        <v>6</v>
      </c>
      <c r="C64" s="563">
        <f t="shared" si="47"/>
        <v>6</v>
      </c>
      <c r="D64" s="563">
        <f t="shared" si="47"/>
        <v>6</v>
      </c>
      <c r="E64" s="563">
        <f t="shared" ref="E64:AQ64" si="50">ROUNDUP(IF(E$13="Deploy",MAX((E$80/100)*$B97,$B97),(E$80/100)*$B97),0)</f>
        <v>6</v>
      </c>
      <c r="F64" s="563">
        <f t="shared" si="50"/>
        <v>6</v>
      </c>
      <c r="G64" s="563">
        <f t="shared" si="50"/>
        <v>6</v>
      </c>
      <c r="H64" s="563">
        <f t="shared" si="50"/>
        <v>8</v>
      </c>
      <c r="I64" s="563">
        <f t="shared" si="50"/>
        <v>9</v>
      </c>
      <c r="J64" s="563">
        <f t="shared" si="50"/>
        <v>10</v>
      </c>
      <c r="K64" s="563">
        <f t="shared" si="50"/>
        <v>11</v>
      </c>
      <c r="L64" s="563">
        <f t="shared" si="50"/>
        <v>12</v>
      </c>
      <c r="M64" s="563">
        <f t="shared" si="50"/>
        <v>14</v>
      </c>
      <c r="N64" s="563">
        <f t="shared" si="50"/>
        <v>14</v>
      </c>
      <c r="O64" s="563">
        <f t="shared" si="50"/>
        <v>14</v>
      </c>
      <c r="P64" s="563">
        <f t="shared" si="50"/>
        <v>14</v>
      </c>
      <c r="Q64" s="563">
        <f t="shared" si="50"/>
        <v>14</v>
      </c>
      <c r="R64" s="563">
        <f t="shared" si="50"/>
        <v>16</v>
      </c>
      <c r="S64" s="563">
        <f t="shared" si="50"/>
        <v>16</v>
      </c>
      <c r="T64" s="563">
        <f t="shared" si="50"/>
        <v>16</v>
      </c>
      <c r="U64" s="563">
        <f t="shared" si="50"/>
        <v>16</v>
      </c>
      <c r="V64" s="563">
        <f t="shared" si="50"/>
        <v>16</v>
      </c>
      <c r="W64" s="563">
        <f t="shared" si="50"/>
        <v>16</v>
      </c>
      <c r="X64" s="563">
        <f t="shared" si="50"/>
        <v>16</v>
      </c>
      <c r="Y64" s="563">
        <f t="shared" si="50"/>
        <v>15</v>
      </c>
      <c r="Z64" s="563">
        <f t="shared" si="50"/>
        <v>14</v>
      </c>
      <c r="AA64" s="563">
        <f t="shared" si="50"/>
        <v>14</v>
      </c>
      <c r="AB64" s="564">
        <f t="shared" si="50"/>
        <v>13</v>
      </c>
      <c r="AC64" s="100">
        <f t="shared" si="50"/>
        <v>6</v>
      </c>
      <c r="AD64" s="563">
        <f t="shared" si="50"/>
        <v>8</v>
      </c>
      <c r="AE64" s="563">
        <f t="shared" si="50"/>
        <v>9</v>
      </c>
      <c r="AF64" s="563">
        <f t="shared" si="50"/>
        <v>10</v>
      </c>
      <c r="AG64" s="563">
        <f t="shared" si="50"/>
        <v>11</v>
      </c>
      <c r="AH64" s="563">
        <f t="shared" si="50"/>
        <v>12</v>
      </c>
      <c r="AI64" s="563">
        <f t="shared" si="50"/>
        <v>14</v>
      </c>
      <c r="AJ64" s="563">
        <f t="shared" si="50"/>
        <v>14</v>
      </c>
      <c r="AK64" s="563">
        <f t="shared" si="50"/>
        <v>14</v>
      </c>
      <c r="AL64" s="563">
        <f t="shared" si="50"/>
        <v>14</v>
      </c>
      <c r="AM64" s="563">
        <f t="shared" si="50"/>
        <v>15</v>
      </c>
      <c r="AN64" s="563">
        <f t="shared" si="50"/>
        <v>14</v>
      </c>
      <c r="AO64" s="563">
        <f t="shared" si="50"/>
        <v>14</v>
      </c>
      <c r="AP64" s="565">
        <f t="shared" si="50"/>
        <v>13</v>
      </c>
      <c r="AQ64" s="566">
        <f t="shared" si="50"/>
        <v>6</v>
      </c>
    </row>
    <row r="65" spans="1:43" ht="12.75" thickBot="1" x14ac:dyDescent="0.25">
      <c r="A65" s="562" t="str">
        <f>A98</f>
        <v>Required Skilled Crews</v>
      </c>
      <c r="B65" s="563">
        <f t="shared" si="47"/>
        <v>6</v>
      </c>
      <c r="C65" s="563">
        <f t="shared" si="47"/>
        <v>6</v>
      </c>
      <c r="D65" s="563">
        <f t="shared" si="47"/>
        <v>6</v>
      </c>
      <c r="E65" s="563">
        <f t="shared" ref="E65:AQ65" si="51">ROUNDUP(IF(E$13="Deploy",MAX((E$80/100)*$B98,$B98),(E$80/100)*$B98),0)</f>
        <v>6</v>
      </c>
      <c r="F65" s="563">
        <f t="shared" si="51"/>
        <v>6</v>
      </c>
      <c r="G65" s="563">
        <f t="shared" si="51"/>
        <v>6</v>
      </c>
      <c r="H65" s="563">
        <f t="shared" si="51"/>
        <v>8</v>
      </c>
      <c r="I65" s="563">
        <f t="shared" si="51"/>
        <v>9</v>
      </c>
      <c r="J65" s="563">
        <f t="shared" si="51"/>
        <v>10</v>
      </c>
      <c r="K65" s="563">
        <f t="shared" si="51"/>
        <v>11</v>
      </c>
      <c r="L65" s="563">
        <f t="shared" si="51"/>
        <v>12</v>
      </c>
      <c r="M65" s="563">
        <f t="shared" si="51"/>
        <v>14</v>
      </c>
      <c r="N65" s="563">
        <f t="shared" si="51"/>
        <v>14</v>
      </c>
      <c r="O65" s="563">
        <f t="shared" si="51"/>
        <v>14</v>
      </c>
      <c r="P65" s="563">
        <f t="shared" si="51"/>
        <v>14</v>
      </c>
      <c r="Q65" s="563">
        <f t="shared" si="51"/>
        <v>14</v>
      </c>
      <c r="R65" s="563">
        <f t="shared" si="51"/>
        <v>16</v>
      </c>
      <c r="S65" s="563">
        <f t="shared" si="51"/>
        <v>16</v>
      </c>
      <c r="T65" s="563">
        <f t="shared" si="51"/>
        <v>16</v>
      </c>
      <c r="U65" s="563">
        <f t="shared" si="51"/>
        <v>16</v>
      </c>
      <c r="V65" s="563">
        <f t="shared" si="51"/>
        <v>16</v>
      </c>
      <c r="W65" s="563">
        <f t="shared" si="51"/>
        <v>16</v>
      </c>
      <c r="X65" s="563">
        <f t="shared" si="51"/>
        <v>16</v>
      </c>
      <c r="Y65" s="563">
        <f t="shared" si="51"/>
        <v>15</v>
      </c>
      <c r="Z65" s="563">
        <f t="shared" si="51"/>
        <v>14</v>
      </c>
      <c r="AA65" s="563">
        <f t="shared" si="51"/>
        <v>14</v>
      </c>
      <c r="AB65" s="564">
        <f t="shared" si="51"/>
        <v>13</v>
      </c>
      <c r="AC65" s="362">
        <f t="shared" si="51"/>
        <v>6</v>
      </c>
      <c r="AD65" s="363">
        <f t="shared" si="51"/>
        <v>8</v>
      </c>
      <c r="AE65" s="363">
        <f t="shared" si="51"/>
        <v>9</v>
      </c>
      <c r="AF65" s="363">
        <f t="shared" si="51"/>
        <v>10</v>
      </c>
      <c r="AG65" s="363">
        <f t="shared" si="51"/>
        <v>11</v>
      </c>
      <c r="AH65" s="363">
        <f t="shared" si="51"/>
        <v>12</v>
      </c>
      <c r="AI65" s="363">
        <f t="shared" si="51"/>
        <v>14</v>
      </c>
      <c r="AJ65" s="363">
        <f t="shared" si="51"/>
        <v>14</v>
      </c>
      <c r="AK65" s="363">
        <f t="shared" si="51"/>
        <v>14</v>
      </c>
      <c r="AL65" s="363">
        <f t="shared" si="51"/>
        <v>14</v>
      </c>
      <c r="AM65" s="363">
        <f t="shared" si="51"/>
        <v>15</v>
      </c>
      <c r="AN65" s="363">
        <f t="shared" si="51"/>
        <v>14</v>
      </c>
      <c r="AO65" s="363">
        <f t="shared" si="51"/>
        <v>14</v>
      </c>
      <c r="AP65" s="364">
        <f t="shared" si="51"/>
        <v>13</v>
      </c>
      <c r="AQ65" s="566">
        <f t="shared" si="51"/>
        <v>6</v>
      </c>
    </row>
    <row r="66" spans="1:43" s="64" customFormat="1" ht="12.75" x14ac:dyDescent="0.2">
      <c r="A66" s="571" t="s">
        <v>156</v>
      </c>
      <c r="B66" s="572"/>
      <c r="C66" s="573"/>
      <c r="D66" s="573"/>
      <c r="E66" s="573"/>
      <c r="F66" s="573"/>
      <c r="G66" s="574"/>
      <c r="H66" s="574"/>
      <c r="I66" s="574"/>
      <c r="J66" s="574"/>
      <c r="K66" s="574"/>
      <c r="L66" s="574"/>
      <c r="M66" s="574"/>
      <c r="N66" s="574"/>
      <c r="O66" s="574"/>
      <c r="P66" s="575"/>
      <c r="Q66" s="575"/>
      <c r="R66" s="576"/>
      <c r="S66" s="576"/>
      <c r="T66" s="576"/>
      <c r="U66" s="577"/>
      <c r="V66" s="578"/>
      <c r="W66" s="578"/>
      <c r="X66" s="578"/>
      <c r="Y66" s="578"/>
      <c r="Z66" s="578"/>
      <c r="AA66" s="578"/>
      <c r="AB66" s="579"/>
    </row>
    <row r="67" spans="1:43" s="64" customFormat="1" x14ac:dyDescent="0.2">
      <c r="A67" s="515" t="s">
        <v>157</v>
      </c>
      <c r="B67" s="359">
        <v>0.95</v>
      </c>
      <c r="C67" s="359">
        <v>0.95</v>
      </c>
      <c r="D67" s="359">
        <v>0.95</v>
      </c>
      <c r="E67" s="359">
        <v>0.95</v>
      </c>
      <c r="F67" s="359">
        <v>0.95</v>
      </c>
      <c r="G67" s="359">
        <v>0.95</v>
      </c>
      <c r="H67" s="359">
        <v>0.95</v>
      </c>
      <c r="I67" s="359">
        <v>0.95</v>
      </c>
      <c r="J67" s="359">
        <v>0.95</v>
      </c>
      <c r="K67" s="359">
        <v>0.95</v>
      </c>
      <c r="L67" s="359">
        <v>0.95</v>
      </c>
      <c r="M67" s="359">
        <v>0.95</v>
      </c>
      <c r="N67" s="359">
        <v>0.95</v>
      </c>
      <c r="O67" s="359">
        <v>0.95</v>
      </c>
      <c r="P67" s="359">
        <v>0.95</v>
      </c>
      <c r="Q67" s="359">
        <v>0.95</v>
      </c>
      <c r="R67" s="359">
        <v>0.95</v>
      </c>
      <c r="S67" s="359">
        <v>0.95</v>
      </c>
      <c r="T67" s="359">
        <v>0.95</v>
      </c>
      <c r="U67" s="359">
        <v>0.95</v>
      </c>
      <c r="V67" s="359">
        <v>0.95</v>
      </c>
      <c r="W67" s="359">
        <v>0.95</v>
      </c>
      <c r="X67" s="359">
        <v>0.95</v>
      </c>
      <c r="Y67" s="359">
        <v>0.95</v>
      </c>
      <c r="Z67" s="359">
        <v>0.95</v>
      </c>
      <c r="AA67" s="359">
        <v>0.95</v>
      </c>
      <c r="AB67" s="360">
        <v>0.95</v>
      </c>
    </row>
    <row r="68" spans="1:43" s="64" customFormat="1" x14ac:dyDescent="0.2">
      <c r="A68" s="515" t="s">
        <v>158</v>
      </c>
      <c r="B68" s="580">
        <v>0.92</v>
      </c>
      <c r="C68" s="580">
        <v>0.92</v>
      </c>
      <c r="D68" s="580">
        <v>0.92</v>
      </c>
      <c r="E68" s="580">
        <v>0.92</v>
      </c>
      <c r="F68" s="580">
        <v>0.92</v>
      </c>
      <c r="G68" s="580">
        <v>0.92</v>
      </c>
      <c r="H68" s="580">
        <v>0.92</v>
      </c>
      <c r="I68" s="580">
        <v>0.92</v>
      </c>
      <c r="J68" s="580">
        <v>0.92</v>
      </c>
      <c r="K68" s="580">
        <v>0.92</v>
      </c>
      <c r="L68" s="580">
        <v>0.92</v>
      </c>
      <c r="M68" s="580">
        <v>0.92</v>
      </c>
      <c r="N68" s="580">
        <v>0.92</v>
      </c>
      <c r="O68" s="580">
        <v>0.92</v>
      </c>
      <c r="P68" s="580">
        <v>0.92</v>
      </c>
      <c r="Q68" s="580">
        <v>0.92</v>
      </c>
      <c r="R68" s="580">
        <v>0.92</v>
      </c>
      <c r="S68" s="580">
        <v>0.92</v>
      </c>
      <c r="T68" s="580">
        <v>0.92</v>
      </c>
      <c r="U68" s="580">
        <v>0.92</v>
      </c>
      <c r="V68" s="580">
        <v>0.92</v>
      </c>
      <c r="W68" s="580">
        <v>0.92</v>
      </c>
      <c r="X68" s="580">
        <v>0.92</v>
      </c>
      <c r="Y68" s="580">
        <v>0.92</v>
      </c>
      <c r="Z68" s="580">
        <v>0.92</v>
      </c>
      <c r="AA68" s="580">
        <v>0.92</v>
      </c>
      <c r="AB68" s="581">
        <v>0.92</v>
      </c>
    </row>
    <row r="69" spans="1:43" s="64" customFormat="1" x14ac:dyDescent="0.2">
      <c r="A69" s="515" t="s">
        <v>159</v>
      </c>
      <c r="B69" s="580">
        <v>0.75</v>
      </c>
      <c r="C69" s="580">
        <v>0.75</v>
      </c>
      <c r="D69" s="580">
        <v>0.75</v>
      </c>
      <c r="E69" s="580">
        <v>0.75</v>
      </c>
      <c r="F69" s="580">
        <v>0.75</v>
      </c>
      <c r="G69" s="580">
        <v>0.75</v>
      </c>
      <c r="H69" s="580">
        <v>0.75</v>
      </c>
      <c r="I69" s="580">
        <v>0.75</v>
      </c>
      <c r="J69" s="580">
        <v>0.75</v>
      </c>
      <c r="K69" s="580">
        <v>0.75</v>
      </c>
      <c r="L69" s="580">
        <v>0.75</v>
      </c>
      <c r="M69" s="580">
        <v>0.75</v>
      </c>
      <c r="N69" s="580">
        <v>0.75</v>
      </c>
      <c r="O69" s="580">
        <v>0.75</v>
      </c>
      <c r="P69" s="580">
        <v>0.75</v>
      </c>
      <c r="Q69" s="580">
        <v>0.75</v>
      </c>
      <c r="R69" s="580">
        <v>0.75</v>
      </c>
      <c r="S69" s="580">
        <v>0.75</v>
      </c>
      <c r="T69" s="580">
        <v>0.75</v>
      </c>
      <c r="U69" s="580">
        <v>0.75</v>
      </c>
      <c r="V69" s="580">
        <v>0.75</v>
      </c>
      <c r="W69" s="580">
        <v>0.75</v>
      </c>
      <c r="X69" s="580">
        <v>0.75</v>
      </c>
      <c r="Y69" s="580">
        <v>0.75</v>
      </c>
      <c r="Z69" s="580">
        <v>0.75</v>
      </c>
      <c r="AA69" s="580">
        <v>0.75</v>
      </c>
      <c r="AB69" s="581">
        <v>0.75</v>
      </c>
    </row>
    <row r="71" spans="1:43" s="60" customFormat="1" ht="12.75" x14ac:dyDescent="0.2">
      <c r="A71" s="53"/>
      <c r="B71" s="64"/>
      <c r="C71" s="64"/>
      <c r="D71" s="53"/>
      <c r="E71" s="53"/>
      <c r="F71" s="53"/>
      <c r="G71" s="53"/>
      <c r="H71" s="54"/>
      <c r="I71" s="55"/>
      <c r="J71" s="55"/>
      <c r="K71" s="56"/>
      <c r="L71" s="56"/>
      <c r="M71" s="57"/>
      <c r="N71" s="58"/>
      <c r="O71" s="58"/>
      <c r="P71" s="58"/>
      <c r="Q71" s="56"/>
      <c r="R71" s="59"/>
      <c r="S71" s="56"/>
      <c r="T71" s="53"/>
      <c r="V71" s="53"/>
      <c r="W71" s="53"/>
      <c r="X71" s="53"/>
      <c r="Y71" s="53"/>
      <c r="Z71" s="53"/>
      <c r="AA71" s="53"/>
      <c r="AB71" s="53"/>
    </row>
    <row r="72" spans="1:43" s="60" customFormat="1" ht="12.75" x14ac:dyDescent="0.2">
      <c r="A72" s="53"/>
      <c r="B72" s="64"/>
      <c r="C72" s="64"/>
      <c r="D72" s="53"/>
      <c r="E72" s="53"/>
      <c r="F72" s="53"/>
      <c r="G72" s="53"/>
      <c r="H72" s="276"/>
      <c r="I72" s="61"/>
      <c r="J72" s="55"/>
      <c r="K72" s="56"/>
      <c r="L72" s="56"/>
      <c r="M72" s="276"/>
      <c r="N72" s="61"/>
      <c r="O72" s="58"/>
      <c r="P72" s="58"/>
      <c r="Q72" s="56"/>
      <c r="R72" s="62"/>
      <c r="T72" s="63"/>
      <c r="V72" s="53"/>
      <c r="W72" s="53"/>
      <c r="X72" s="53"/>
      <c r="Y72" s="53"/>
      <c r="Z72" s="53"/>
      <c r="AA72" s="53"/>
      <c r="AB72" s="53"/>
    </row>
    <row r="73" spans="1:43" s="60" customFormat="1" ht="13.5" thickBot="1" x14ac:dyDescent="0.25">
      <c r="A73" s="53"/>
      <c r="B73" s="64"/>
      <c r="C73" s="53"/>
      <c r="D73" s="53"/>
      <c r="E73" s="53"/>
      <c r="F73" s="53"/>
      <c r="G73" s="53"/>
      <c r="H73" s="65"/>
      <c r="I73" s="61"/>
      <c r="J73" s="55"/>
      <c r="K73" s="56"/>
      <c r="L73" s="56"/>
      <c r="M73" s="65"/>
      <c r="N73" s="61"/>
      <c r="O73" s="55"/>
      <c r="P73" s="58"/>
      <c r="Q73" s="56"/>
      <c r="R73" s="62"/>
      <c r="T73" s="66"/>
      <c r="V73" s="53"/>
      <c r="W73" s="53"/>
      <c r="X73" s="53"/>
      <c r="Y73" s="53"/>
      <c r="Z73" s="53"/>
      <c r="AA73" s="53"/>
      <c r="AB73" s="53"/>
    </row>
    <row r="74" spans="1:43" ht="13.5" customHeight="1" thickBot="1" x14ac:dyDescent="0.25">
      <c r="A74" s="717" t="s">
        <v>160</v>
      </c>
      <c r="B74" s="718"/>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9"/>
    </row>
    <row r="75" spans="1:43" x14ac:dyDescent="0.2">
      <c r="A75" s="127" t="s">
        <v>161</v>
      </c>
      <c r="B75" s="128">
        <f t="shared" ref="B75:AB75" si="52">MIN(100,B77+$B$81)</f>
        <v>41.766866457937404</v>
      </c>
      <c r="C75" s="128">
        <f t="shared" si="52"/>
        <v>41.766866457937404</v>
      </c>
      <c r="D75" s="128">
        <f t="shared" si="52"/>
        <v>41.766866457937404</v>
      </c>
      <c r="E75" s="128">
        <f t="shared" si="52"/>
        <v>41.766866457937404</v>
      </c>
      <c r="F75" s="128">
        <f t="shared" si="52"/>
        <v>41.766866457937404</v>
      </c>
      <c r="G75" s="128">
        <f t="shared" si="52"/>
        <v>41.766866457937404</v>
      </c>
      <c r="H75" s="128">
        <f t="shared" si="52"/>
        <v>41.766866457937404</v>
      </c>
      <c r="I75" s="128">
        <f t="shared" si="52"/>
        <v>56.766866457937404</v>
      </c>
      <c r="J75" s="128">
        <f t="shared" si="52"/>
        <v>78.766866457937397</v>
      </c>
      <c r="K75" s="128">
        <f t="shared" si="52"/>
        <v>96.766866457937397</v>
      </c>
      <c r="L75" s="128">
        <f t="shared" si="52"/>
        <v>100</v>
      </c>
      <c r="M75" s="128">
        <f t="shared" si="52"/>
        <v>100</v>
      </c>
      <c r="N75" s="128">
        <f t="shared" si="52"/>
        <v>100</v>
      </c>
      <c r="O75" s="128">
        <f t="shared" si="52"/>
        <v>100</v>
      </c>
      <c r="P75" s="128">
        <f t="shared" si="52"/>
        <v>100</v>
      </c>
      <c r="Q75" s="128">
        <f t="shared" si="52"/>
        <v>100</v>
      </c>
      <c r="R75" s="128">
        <f t="shared" si="52"/>
        <v>100</v>
      </c>
      <c r="S75" s="128">
        <f t="shared" si="52"/>
        <v>100</v>
      </c>
      <c r="T75" s="128">
        <f t="shared" si="52"/>
        <v>100</v>
      </c>
      <c r="U75" s="128">
        <f t="shared" si="52"/>
        <v>100</v>
      </c>
      <c r="V75" s="128">
        <f t="shared" si="52"/>
        <v>100</v>
      </c>
      <c r="W75" s="128">
        <f t="shared" si="52"/>
        <v>100</v>
      </c>
      <c r="X75" s="128">
        <f t="shared" si="52"/>
        <v>100</v>
      </c>
      <c r="Y75" s="128">
        <f t="shared" si="52"/>
        <v>100</v>
      </c>
      <c r="Z75" s="128">
        <f t="shared" si="52"/>
        <v>100</v>
      </c>
      <c r="AA75" s="128">
        <f t="shared" si="52"/>
        <v>100</v>
      </c>
      <c r="AB75" s="129">
        <f t="shared" si="52"/>
        <v>100</v>
      </c>
      <c r="AC75" s="128">
        <f t="shared" ref="AC75:AL79" si="53">G75</f>
        <v>41.766866457937404</v>
      </c>
      <c r="AD75" s="128">
        <f t="shared" si="53"/>
        <v>41.766866457937404</v>
      </c>
      <c r="AE75" s="128">
        <f t="shared" si="53"/>
        <v>56.766866457937404</v>
      </c>
      <c r="AF75" s="128">
        <f t="shared" si="53"/>
        <v>78.766866457937397</v>
      </c>
      <c r="AG75" s="128">
        <f t="shared" si="53"/>
        <v>96.766866457937397</v>
      </c>
      <c r="AH75" s="128">
        <f t="shared" si="53"/>
        <v>100</v>
      </c>
      <c r="AI75" s="128">
        <f t="shared" si="53"/>
        <v>100</v>
      </c>
      <c r="AJ75" s="128">
        <f t="shared" si="53"/>
        <v>100</v>
      </c>
      <c r="AK75" s="128">
        <f t="shared" si="53"/>
        <v>100</v>
      </c>
      <c r="AL75" s="128">
        <f t="shared" si="53"/>
        <v>100</v>
      </c>
      <c r="AM75" s="128">
        <f t="shared" ref="AM75:AP79" si="54">Y75</f>
        <v>100</v>
      </c>
      <c r="AN75" s="128">
        <f t="shared" si="54"/>
        <v>100</v>
      </c>
      <c r="AO75" s="128">
        <f t="shared" si="54"/>
        <v>100</v>
      </c>
      <c r="AP75" s="129">
        <f t="shared" si="54"/>
        <v>100</v>
      </c>
      <c r="AQ75" s="130">
        <f>MIN(100,AQ77+$B$81)</f>
        <v>73.766866457937397</v>
      </c>
    </row>
    <row r="76" spans="1:43" x14ac:dyDescent="0.2">
      <c r="A76" s="22" t="s">
        <v>162</v>
      </c>
      <c r="B76" s="582">
        <f t="shared" ref="B76:AB76" si="55">MIN(100,B77+$B$82)</f>
        <v>23.383433228968702</v>
      </c>
      <c r="C76" s="582">
        <f t="shared" si="55"/>
        <v>23.383433228968702</v>
      </c>
      <c r="D76" s="582">
        <f t="shared" si="55"/>
        <v>23.383433228968702</v>
      </c>
      <c r="E76" s="582">
        <f t="shared" si="55"/>
        <v>23.383433228968702</v>
      </c>
      <c r="F76" s="582">
        <f t="shared" si="55"/>
        <v>23.383433228968702</v>
      </c>
      <c r="G76" s="582">
        <f t="shared" si="55"/>
        <v>23.383433228968702</v>
      </c>
      <c r="H76" s="582">
        <f t="shared" si="55"/>
        <v>23.383433228968702</v>
      </c>
      <c r="I76" s="582">
        <f t="shared" si="55"/>
        <v>38.383433228968698</v>
      </c>
      <c r="J76" s="582">
        <f t="shared" si="55"/>
        <v>60.383433228968698</v>
      </c>
      <c r="K76" s="582">
        <f t="shared" si="55"/>
        <v>78.383433228968698</v>
      </c>
      <c r="L76" s="582">
        <f t="shared" si="55"/>
        <v>88.383433228968698</v>
      </c>
      <c r="M76" s="582">
        <f t="shared" si="55"/>
        <v>88.383433228968698</v>
      </c>
      <c r="N76" s="582">
        <f t="shared" si="55"/>
        <v>98.383433228968698</v>
      </c>
      <c r="O76" s="582">
        <f t="shared" si="55"/>
        <v>98.383433228968698</v>
      </c>
      <c r="P76" s="582">
        <f t="shared" si="55"/>
        <v>98.383433228968698</v>
      </c>
      <c r="Q76" s="582">
        <f t="shared" si="55"/>
        <v>98.383433228968698</v>
      </c>
      <c r="R76" s="582">
        <f t="shared" si="55"/>
        <v>100</v>
      </c>
      <c r="S76" s="582">
        <f t="shared" si="55"/>
        <v>100</v>
      </c>
      <c r="T76" s="582">
        <f t="shared" si="55"/>
        <v>100</v>
      </c>
      <c r="U76" s="582">
        <f t="shared" si="55"/>
        <v>100</v>
      </c>
      <c r="V76" s="582">
        <f t="shared" si="55"/>
        <v>100</v>
      </c>
      <c r="W76" s="582">
        <f t="shared" si="55"/>
        <v>100</v>
      </c>
      <c r="X76" s="582">
        <f t="shared" si="55"/>
        <v>98.383433228968698</v>
      </c>
      <c r="Y76" s="582">
        <f t="shared" si="55"/>
        <v>98.383433228968698</v>
      </c>
      <c r="Z76" s="582">
        <f t="shared" si="55"/>
        <v>98.383433228968698</v>
      </c>
      <c r="AA76" s="582">
        <f t="shared" si="55"/>
        <v>98.383433228968698</v>
      </c>
      <c r="AB76" s="583">
        <f t="shared" si="55"/>
        <v>98.383433228968698</v>
      </c>
      <c r="AC76" s="582">
        <f t="shared" si="53"/>
        <v>23.383433228968702</v>
      </c>
      <c r="AD76" s="582">
        <f t="shared" si="53"/>
        <v>23.383433228968702</v>
      </c>
      <c r="AE76" s="582">
        <f t="shared" si="53"/>
        <v>38.383433228968698</v>
      </c>
      <c r="AF76" s="582">
        <f t="shared" si="53"/>
        <v>60.383433228968698</v>
      </c>
      <c r="AG76" s="582">
        <f t="shared" si="53"/>
        <v>78.383433228968698</v>
      </c>
      <c r="AH76" s="582">
        <f t="shared" si="53"/>
        <v>88.383433228968698</v>
      </c>
      <c r="AI76" s="582">
        <f t="shared" si="53"/>
        <v>88.383433228968698</v>
      </c>
      <c r="AJ76" s="582">
        <f t="shared" si="53"/>
        <v>98.383433228968698</v>
      </c>
      <c r="AK76" s="582">
        <f t="shared" si="53"/>
        <v>98.383433228968698</v>
      </c>
      <c r="AL76" s="582">
        <f t="shared" si="53"/>
        <v>98.383433228968698</v>
      </c>
      <c r="AM76" s="582">
        <f t="shared" si="54"/>
        <v>98.383433228968698</v>
      </c>
      <c r="AN76" s="582">
        <f t="shared" si="54"/>
        <v>98.383433228968698</v>
      </c>
      <c r="AO76" s="582">
        <f t="shared" si="54"/>
        <v>98.383433228968698</v>
      </c>
      <c r="AP76" s="583">
        <f t="shared" si="54"/>
        <v>98.383433228968698</v>
      </c>
      <c r="AQ76" s="124">
        <f>MIN(100,AQ77+$B$82)</f>
        <v>55.383433228968698</v>
      </c>
    </row>
    <row r="77" spans="1:43" x14ac:dyDescent="0.2">
      <c r="A77" s="22" t="s">
        <v>163</v>
      </c>
      <c r="B77" s="584">
        <v>5</v>
      </c>
      <c r="C77" s="584">
        <v>5</v>
      </c>
      <c r="D77" s="584">
        <v>5</v>
      </c>
      <c r="E77" s="584">
        <v>5</v>
      </c>
      <c r="F77" s="584">
        <v>5</v>
      </c>
      <c r="G77" s="584">
        <v>5</v>
      </c>
      <c r="H77" s="584">
        <v>5</v>
      </c>
      <c r="I77" s="584">
        <v>20</v>
      </c>
      <c r="J77" s="584">
        <v>42</v>
      </c>
      <c r="K77" s="584">
        <v>60</v>
      </c>
      <c r="L77" s="584">
        <v>70</v>
      </c>
      <c r="M77" s="584">
        <v>70</v>
      </c>
      <c r="N77" s="584">
        <v>80</v>
      </c>
      <c r="O77" s="584">
        <v>80</v>
      </c>
      <c r="P77" s="584">
        <v>80</v>
      </c>
      <c r="Q77" s="584">
        <v>80</v>
      </c>
      <c r="R77" s="584">
        <v>100</v>
      </c>
      <c r="S77" s="584">
        <v>100</v>
      </c>
      <c r="T77" s="584">
        <v>100</v>
      </c>
      <c r="U77" s="584">
        <v>100</v>
      </c>
      <c r="V77" s="584">
        <v>100</v>
      </c>
      <c r="W77" s="584">
        <v>100</v>
      </c>
      <c r="X77" s="584">
        <v>80</v>
      </c>
      <c r="Y77" s="584">
        <v>80</v>
      </c>
      <c r="Z77" s="584">
        <v>80</v>
      </c>
      <c r="AA77" s="584">
        <v>80</v>
      </c>
      <c r="AB77" s="585">
        <v>80</v>
      </c>
      <c r="AC77" s="584">
        <f t="shared" si="53"/>
        <v>5</v>
      </c>
      <c r="AD77" s="584">
        <f t="shared" si="53"/>
        <v>5</v>
      </c>
      <c r="AE77" s="584">
        <f t="shared" si="53"/>
        <v>20</v>
      </c>
      <c r="AF77" s="584">
        <f t="shared" si="53"/>
        <v>42</v>
      </c>
      <c r="AG77" s="584">
        <f t="shared" si="53"/>
        <v>60</v>
      </c>
      <c r="AH77" s="584">
        <f t="shared" si="53"/>
        <v>70</v>
      </c>
      <c r="AI77" s="584">
        <f t="shared" si="53"/>
        <v>70</v>
      </c>
      <c r="AJ77" s="584">
        <f t="shared" si="53"/>
        <v>80</v>
      </c>
      <c r="AK77" s="584">
        <f t="shared" si="53"/>
        <v>80</v>
      </c>
      <c r="AL77" s="584">
        <f t="shared" si="53"/>
        <v>80</v>
      </c>
      <c r="AM77" s="584">
        <f t="shared" si="54"/>
        <v>80</v>
      </c>
      <c r="AN77" s="584">
        <f t="shared" si="54"/>
        <v>80</v>
      </c>
      <c r="AO77" s="584">
        <f t="shared" si="54"/>
        <v>80</v>
      </c>
      <c r="AP77" s="585">
        <f t="shared" si="54"/>
        <v>80</v>
      </c>
      <c r="AQ77" s="125">
        <v>37</v>
      </c>
    </row>
    <row r="78" spans="1:43" x14ac:dyDescent="0.2">
      <c r="A78" s="22" t="s">
        <v>164</v>
      </c>
      <c r="B78" s="582">
        <f t="shared" ref="B78:AB78" si="56">MIN(80,IF(B13="Deploy",80,MAX(0,B77-$B$82)))</f>
        <v>0</v>
      </c>
      <c r="C78" s="582">
        <f t="shared" si="56"/>
        <v>0</v>
      </c>
      <c r="D78" s="582">
        <f t="shared" si="56"/>
        <v>0</v>
      </c>
      <c r="E78" s="582">
        <f t="shared" si="56"/>
        <v>0</v>
      </c>
      <c r="F78" s="582">
        <f t="shared" si="56"/>
        <v>0</v>
      </c>
      <c r="G78" s="582">
        <f t="shared" si="56"/>
        <v>0</v>
      </c>
      <c r="H78" s="582">
        <f t="shared" si="56"/>
        <v>0</v>
      </c>
      <c r="I78" s="582">
        <f t="shared" si="56"/>
        <v>1.6165667710312981</v>
      </c>
      <c r="J78" s="582">
        <f t="shared" si="56"/>
        <v>23.616566771031298</v>
      </c>
      <c r="K78" s="582">
        <f t="shared" si="56"/>
        <v>41.616566771031302</v>
      </c>
      <c r="L78" s="582">
        <f t="shared" si="56"/>
        <v>51.616566771031302</v>
      </c>
      <c r="M78" s="582">
        <f t="shared" si="56"/>
        <v>51.616566771031302</v>
      </c>
      <c r="N78" s="582">
        <f t="shared" si="56"/>
        <v>61.616566771031302</v>
      </c>
      <c r="O78" s="582">
        <f t="shared" si="56"/>
        <v>61.616566771031302</v>
      </c>
      <c r="P78" s="582">
        <f t="shared" si="56"/>
        <v>61.616566771031302</v>
      </c>
      <c r="Q78" s="582">
        <f t="shared" si="56"/>
        <v>61.616566771031302</v>
      </c>
      <c r="R78" s="582">
        <f t="shared" si="56"/>
        <v>80</v>
      </c>
      <c r="S78" s="582">
        <f t="shared" si="56"/>
        <v>80</v>
      </c>
      <c r="T78" s="582">
        <f t="shared" si="56"/>
        <v>80</v>
      </c>
      <c r="U78" s="582">
        <f t="shared" si="56"/>
        <v>80</v>
      </c>
      <c r="V78" s="582">
        <f t="shared" si="56"/>
        <v>80</v>
      </c>
      <c r="W78" s="582">
        <f t="shared" si="56"/>
        <v>80</v>
      </c>
      <c r="X78" s="582">
        <f t="shared" si="56"/>
        <v>61.616566771031302</v>
      </c>
      <c r="Y78" s="582">
        <f t="shared" si="56"/>
        <v>61.616566771031302</v>
      </c>
      <c r="Z78" s="582">
        <f t="shared" si="56"/>
        <v>61.616566771031302</v>
      </c>
      <c r="AA78" s="582">
        <f t="shared" si="56"/>
        <v>61.616566771031302</v>
      </c>
      <c r="AB78" s="583">
        <f t="shared" si="56"/>
        <v>61.616566771031302</v>
      </c>
      <c r="AC78" s="582">
        <f t="shared" si="53"/>
        <v>0</v>
      </c>
      <c r="AD78" s="582">
        <f t="shared" si="53"/>
        <v>0</v>
      </c>
      <c r="AE78" s="582">
        <f t="shared" si="53"/>
        <v>1.6165667710312981</v>
      </c>
      <c r="AF78" s="582">
        <f t="shared" si="53"/>
        <v>23.616566771031298</v>
      </c>
      <c r="AG78" s="582">
        <f t="shared" si="53"/>
        <v>41.616566771031302</v>
      </c>
      <c r="AH78" s="582">
        <f t="shared" si="53"/>
        <v>51.616566771031302</v>
      </c>
      <c r="AI78" s="582">
        <f t="shared" si="53"/>
        <v>51.616566771031302</v>
      </c>
      <c r="AJ78" s="582">
        <f t="shared" si="53"/>
        <v>61.616566771031302</v>
      </c>
      <c r="AK78" s="582">
        <f t="shared" si="53"/>
        <v>61.616566771031302</v>
      </c>
      <c r="AL78" s="582">
        <f t="shared" si="53"/>
        <v>61.616566771031302</v>
      </c>
      <c r="AM78" s="582">
        <f t="shared" si="54"/>
        <v>61.616566771031302</v>
      </c>
      <c r="AN78" s="582">
        <f t="shared" si="54"/>
        <v>61.616566771031302</v>
      </c>
      <c r="AO78" s="582">
        <f t="shared" si="54"/>
        <v>61.616566771031302</v>
      </c>
      <c r="AP78" s="583">
        <f t="shared" si="54"/>
        <v>61.616566771031302</v>
      </c>
      <c r="AQ78" s="124">
        <f>MIN(80,IF(AQ3="Deploy",80,MAX(0,AQ77-$B$82)))</f>
        <v>18.616566771031298</v>
      </c>
    </row>
    <row r="79" spans="1:43" ht="12.75" thickBot="1" x14ac:dyDescent="0.25">
      <c r="A79" s="23" t="s">
        <v>165</v>
      </c>
      <c r="B79" s="24">
        <f t="shared" ref="B79:AB79" si="57">MIN(60,IF(B14="Deploy",60,MAX(0,B77-$B$81)))</f>
        <v>0</v>
      </c>
      <c r="C79" s="24">
        <f t="shared" si="57"/>
        <v>0</v>
      </c>
      <c r="D79" s="24">
        <f t="shared" si="57"/>
        <v>0</v>
      </c>
      <c r="E79" s="24">
        <f t="shared" si="57"/>
        <v>0</v>
      </c>
      <c r="F79" s="24">
        <f t="shared" si="57"/>
        <v>0</v>
      </c>
      <c r="G79" s="24">
        <f t="shared" si="57"/>
        <v>0</v>
      </c>
      <c r="H79" s="24">
        <f t="shared" si="57"/>
        <v>0</v>
      </c>
      <c r="I79" s="24">
        <f t="shared" si="57"/>
        <v>0</v>
      </c>
      <c r="J79" s="24">
        <f t="shared" si="57"/>
        <v>5.2331335420625962</v>
      </c>
      <c r="K79" s="24">
        <f t="shared" si="57"/>
        <v>23.233133542062596</v>
      </c>
      <c r="L79" s="24">
        <f t="shared" si="57"/>
        <v>33.233133542062596</v>
      </c>
      <c r="M79" s="24">
        <f t="shared" si="57"/>
        <v>33.233133542062596</v>
      </c>
      <c r="N79" s="24">
        <f t="shared" si="57"/>
        <v>43.233133542062596</v>
      </c>
      <c r="O79" s="24">
        <f t="shared" si="57"/>
        <v>43.233133542062596</v>
      </c>
      <c r="P79" s="24">
        <f t="shared" si="57"/>
        <v>43.233133542062596</v>
      </c>
      <c r="Q79" s="24">
        <f t="shared" si="57"/>
        <v>43.233133542062596</v>
      </c>
      <c r="R79" s="24">
        <f t="shared" si="57"/>
        <v>60</v>
      </c>
      <c r="S79" s="24">
        <f t="shared" si="57"/>
        <v>60</v>
      </c>
      <c r="T79" s="24">
        <f t="shared" si="57"/>
        <v>60</v>
      </c>
      <c r="U79" s="24">
        <f t="shared" si="57"/>
        <v>60</v>
      </c>
      <c r="V79" s="24">
        <f t="shared" si="57"/>
        <v>60</v>
      </c>
      <c r="W79" s="24">
        <f t="shared" si="57"/>
        <v>60</v>
      </c>
      <c r="X79" s="24">
        <f t="shared" si="57"/>
        <v>43.233133542062596</v>
      </c>
      <c r="Y79" s="24">
        <f t="shared" si="57"/>
        <v>43.233133542062596</v>
      </c>
      <c r="Z79" s="24">
        <f t="shared" si="57"/>
        <v>43.233133542062596</v>
      </c>
      <c r="AA79" s="24">
        <f t="shared" si="57"/>
        <v>43.233133542062596</v>
      </c>
      <c r="AB79" s="25">
        <f t="shared" si="57"/>
        <v>43.233133542062596</v>
      </c>
      <c r="AC79" s="24">
        <f t="shared" si="53"/>
        <v>0</v>
      </c>
      <c r="AD79" s="24">
        <f t="shared" si="53"/>
        <v>0</v>
      </c>
      <c r="AE79" s="24">
        <f t="shared" si="53"/>
        <v>0</v>
      </c>
      <c r="AF79" s="24">
        <f t="shared" si="53"/>
        <v>5.2331335420625962</v>
      </c>
      <c r="AG79" s="24">
        <f t="shared" si="53"/>
        <v>23.233133542062596</v>
      </c>
      <c r="AH79" s="24">
        <f t="shared" si="53"/>
        <v>33.233133542062596</v>
      </c>
      <c r="AI79" s="24">
        <f t="shared" si="53"/>
        <v>33.233133542062596</v>
      </c>
      <c r="AJ79" s="24">
        <f t="shared" si="53"/>
        <v>43.233133542062596</v>
      </c>
      <c r="AK79" s="24">
        <f t="shared" si="53"/>
        <v>43.233133542062596</v>
      </c>
      <c r="AL79" s="24">
        <f t="shared" si="53"/>
        <v>43.233133542062596</v>
      </c>
      <c r="AM79" s="24">
        <f t="shared" si="54"/>
        <v>43.233133542062596</v>
      </c>
      <c r="AN79" s="24">
        <f t="shared" si="54"/>
        <v>43.233133542062596</v>
      </c>
      <c r="AO79" s="24">
        <f t="shared" si="54"/>
        <v>43.233133542062596</v>
      </c>
      <c r="AP79" s="25">
        <f t="shared" si="54"/>
        <v>43.233133542062596</v>
      </c>
      <c r="AQ79" s="126">
        <f>MIN(60,IF(AQ4="Deploy",60,MAX(0,AQ77-$B$81)))</f>
        <v>0.23313354206259618</v>
      </c>
    </row>
    <row r="80" spans="1:43" ht="12.75" thickBot="1" x14ac:dyDescent="0.25">
      <c r="A80" s="264" t="s">
        <v>166</v>
      </c>
      <c r="B80" s="265">
        <v>37</v>
      </c>
      <c r="C80" s="265">
        <v>37</v>
      </c>
      <c r="D80" s="265">
        <v>37</v>
      </c>
      <c r="E80" s="265">
        <v>37</v>
      </c>
      <c r="F80" s="265">
        <v>37</v>
      </c>
      <c r="G80" s="265">
        <v>37</v>
      </c>
      <c r="H80" s="265">
        <v>46</v>
      </c>
      <c r="I80" s="265">
        <v>54</v>
      </c>
      <c r="J80" s="265">
        <v>61</v>
      </c>
      <c r="K80" s="265">
        <v>63</v>
      </c>
      <c r="L80" s="265">
        <v>75</v>
      </c>
      <c r="M80" s="265">
        <v>85</v>
      </c>
      <c r="N80" s="265">
        <v>85</v>
      </c>
      <c r="O80" s="265">
        <v>85</v>
      </c>
      <c r="P80" s="265">
        <v>85</v>
      </c>
      <c r="Q80" s="265">
        <v>85</v>
      </c>
      <c r="R80" s="265">
        <v>100</v>
      </c>
      <c r="S80" s="265">
        <v>100</v>
      </c>
      <c r="T80" s="265">
        <v>100</v>
      </c>
      <c r="U80" s="265">
        <v>100</v>
      </c>
      <c r="V80" s="265">
        <v>100</v>
      </c>
      <c r="W80" s="265">
        <v>100</v>
      </c>
      <c r="X80" s="265">
        <v>94</v>
      </c>
      <c r="Y80" s="265">
        <v>91</v>
      </c>
      <c r="Z80" s="265">
        <v>85</v>
      </c>
      <c r="AA80" s="265">
        <v>84</v>
      </c>
      <c r="AB80" s="266">
        <v>81</v>
      </c>
      <c r="AC80" s="265">
        <v>37</v>
      </c>
      <c r="AD80" s="265">
        <v>46</v>
      </c>
      <c r="AE80" s="265">
        <v>54</v>
      </c>
      <c r="AF80" s="265">
        <v>61</v>
      </c>
      <c r="AG80" s="265">
        <v>63</v>
      </c>
      <c r="AH80" s="265">
        <v>75</v>
      </c>
      <c r="AI80" s="265">
        <v>85</v>
      </c>
      <c r="AJ80" s="265">
        <v>85</v>
      </c>
      <c r="AK80" s="265">
        <v>85</v>
      </c>
      <c r="AL80" s="265">
        <v>85</v>
      </c>
      <c r="AM80" s="265">
        <v>91</v>
      </c>
      <c r="AN80" s="265">
        <v>85</v>
      </c>
      <c r="AO80" s="265">
        <v>84</v>
      </c>
      <c r="AP80" s="266">
        <v>81</v>
      </c>
      <c r="AQ80" s="267">
        <v>37</v>
      </c>
    </row>
    <row r="81" spans="1:28" x14ac:dyDescent="0.2">
      <c r="A81" s="80" t="s">
        <v>167</v>
      </c>
      <c r="B81" s="81">
        <f t="array" ref="B81">SQRT(SUM(POWER(AVERAGE(B77:AB77)-(B77:AB77),2))/COUNT(B77:AB77))*1</f>
        <v>36.766866457937404</v>
      </c>
    </row>
    <row r="82" spans="1:28" ht="12.75" thickBot="1" x14ac:dyDescent="0.25">
      <c r="A82" s="82" t="s">
        <v>168</v>
      </c>
      <c r="B82" s="83">
        <f>B81/2</f>
        <v>18.383433228968702</v>
      </c>
    </row>
    <row r="83" spans="1:28" ht="12.75" thickBo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s="52" customFormat="1" ht="12.75" thickBot="1" x14ac:dyDescent="0.25">
      <c r="A84" s="745" t="s">
        <v>169</v>
      </c>
      <c r="B84" s="746"/>
      <c r="D84" s="67"/>
      <c r="E84" s="67"/>
      <c r="F84" s="67"/>
      <c r="G84" s="67"/>
      <c r="H84" s="67"/>
    </row>
    <row r="85" spans="1:28" s="52" customFormat="1" ht="12.75" thickBot="1" x14ac:dyDescent="0.25">
      <c r="A85" s="747" t="s">
        <v>170</v>
      </c>
      <c r="B85" s="748"/>
      <c r="D85" s="67"/>
      <c r="E85" s="67"/>
      <c r="F85" s="67"/>
      <c r="G85" s="67"/>
      <c r="H85" s="67"/>
    </row>
    <row r="86" spans="1:28" ht="12.75" thickTop="1" x14ac:dyDescent="0.2">
      <c r="A86" s="26" t="s">
        <v>171</v>
      </c>
      <c r="B86" s="27">
        <v>40</v>
      </c>
      <c r="D86" s="28"/>
    </row>
    <row r="87" spans="1:28" x14ac:dyDescent="0.2">
      <c r="A87" s="31" t="s">
        <v>172</v>
      </c>
      <c r="B87" s="586">
        <v>40</v>
      </c>
      <c r="D87" s="28"/>
    </row>
    <row r="88" spans="1:28" x14ac:dyDescent="0.2">
      <c r="A88" s="26" t="s">
        <v>173</v>
      </c>
      <c r="B88" s="27">
        <v>20</v>
      </c>
      <c r="D88" s="28"/>
      <c r="H88" s="30"/>
    </row>
    <row r="89" spans="1:28" x14ac:dyDescent="0.2">
      <c r="A89" s="31" t="s">
        <v>174</v>
      </c>
      <c r="B89" s="586">
        <v>20</v>
      </c>
      <c r="D89" s="28"/>
    </row>
    <row r="90" spans="1:28" x14ac:dyDescent="0.2">
      <c r="A90" s="31" t="s">
        <v>175</v>
      </c>
      <c r="B90" s="587">
        <v>7</v>
      </c>
      <c r="D90" s="33"/>
      <c r="F90" s="29"/>
      <c r="G90" s="30"/>
      <c r="H90" s="30"/>
    </row>
    <row r="91" spans="1:28" x14ac:dyDescent="0.2">
      <c r="A91" s="31" t="s">
        <v>176</v>
      </c>
      <c r="B91" s="587">
        <v>16</v>
      </c>
      <c r="D91" s="33"/>
      <c r="F91" s="32"/>
      <c r="G91" s="30"/>
      <c r="H91" s="30"/>
    </row>
    <row r="92" spans="1:28" x14ac:dyDescent="0.2">
      <c r="A92" s="31" t="s">
        <v>177</v>
      </c>
      <c r="B92" s="587">
        <v>32</v>
      </c>
      <c r="D92" s="33"/>
      <c r="F92" s="28"/>
      <c r="G92" s="30"/>
      <c r="H92" s="30"/>
    </row>
    <row r="93" spans="1:28" x14ac:dyDescent="0.2">
      <c r="A93" s="31" t="s">
        <v>178</v>
      </c>
      <c r="B93" s="586">
        <v>32</v>
      </c>
      <c r="D93" s="33"/>
      <c r="F93" s="28"/>
      <c r="G93" s="30"/>
    </row>
    <row r="94" spans="1:28" x14ac:dyDescent="0.2">
      <c r="A94" s="31" t="s">
        <v>179</v>
      </c>
      <c r="B94" s="587">
        <v>7</v>
      </c>
      <c r="D94" s="33"/>
      <c r="F94" s="28"/>
      <c r="G94" s="30"/>
    </row>
    <row r="95" spans="1:28" x14ac:dyDescent="0.2">
      <c r="A95" s="31" t="s">
        <v>180</v>
      </c>
      <c r="B95" s="588">
        <v>16</v>
      </c>
      <c r="D95" s="33"/>
      <c r="F95" s="28"/>
      <c r="G95" s="30"/>
      <c r="H95" s="30"/>
    </row>
    <row r="96" spans="1:28" x14ac:dyDescent="0.2">
      <c r="A96" s="31" t="s">
        <v>181</v>
      </c>
      <c r="B96" s="588">
        <v>16</v>
      </c>
      <c r="D96" s="33"/>
      <c r="F96" s="28"/>
      <c r="G96" s="30"/>
    </row>
    <row r="97" spans="1:50" s="52" customFormat="1" x14ac:dyDescent="0.2">
      <c r="A97" s="31" t="s">
        <v>182</v>
      </c>
      <c r="B97" s="589">
        <v>16</v>
      </c>
      <c r="D97" s="33"/>
      <c r="F97" s="28"/>
      <c r="G97" s="30"/>
      <c r="H97" s="30"/>
      <c r="I97" s="15"/>
      <c r="AB97" s="68"/>
    </row>
    <row r="98" spans="1:50" ht="12.75" thickBot="1" x14ac:dyDescent="0.25">
      <c r="A98" s="34" t="s">
        <v>183</v>
      </c>
      <c r="B98" s="35">
        <v>16</v>
      </c>
    </row>
    <row r="99" spans="1:50" ht="12.75" thickBot="1" x14ac:dyDescent="0.25"/>
    <row r="100" spans="1:50" ht="12.75" thickBot="1" x14ac:dyDescent="0.25">
      <c r="A100" s="745" t="s">
        <v>184</v>
      </c>
      <c r="B100" s="746"/>
      <c r="AW100" s="52"/>
      <c r="AX100" s="52"/>
    </row>
    <row r="101" spans="1:50" x14ac:dyDescent="0.2">
      <c r="A101" s="110" t="s">
        <v>185</v>
      </c>
      <c r="B101" s="111" t="s">
        <v>186</v>
      </c>
      <c r="C101" s="111" t="s">
        <v>186</v>
      </c>
      <c r="D101" s="111" t="s">
        <v>186</v>
      </c>
      <c r="E101" s="111"/>
      <c r="F101" s="111" t="s">
        <v>186</v>
      </c>
      <c r="G101" s="111" t="s">
        <v>186</v>
      </c>
      <c r="H101" s="111" t="s">
        <v>186</v>
      </c>
      <c r="I101" s="111" t="s">
        <v>186</v>
      </c>
      <c r="J101" s="111"/>
      <c r="K101" s="111"/>
      <c r="L101" s="111"/>
      <c r="M101" s="111"/>
      <c r="N101" s="111" t="s">
        <v>186</v>
      </c>
      <c r="O101" s="111" t="s">
        <v>186</v>
      </c>
      <c r="P101" s="111"/>
      <c r="Q101" s="111"/>
      <c r="R101" s="111"/>
      <c r="S101" s="111"/>
      <c r="T101" s="111"/>
      <c r="U101" s="111"/>
      <c r="V101" s="111"/>
      <c r="W101" s="111"/>
      <c r="X101" s="111"/>
      <c r="Y101" s="111" t="s">
        <v>186</v>
      </c>
      <c r="Z101" s="111" t="s">
        <v>186</v>
      </c>
      <c r="AA101" s="111" t="s">
        <v>186</v>
      </c>
      <c r="AB101" s="111" t="s">
        <v>186</v>
      </c>
      <c r="AC101" s="112"/>
      <c r="AD101" s="112"/>
      <c r="AE101" s="112"/>
      <c r="AF101" s="112"/>
      <c r="AG101" s="112"/>
      <c r="AH101" s="112"/>
      <c r="AI101" s="112"/>
      <c r="AJ101" s="112"/>
      <c r="AK101" s="112"/>
      <c r="AL101" s="112"/>
      <c r="AM101" s="112"/>
      <c r="AN101" s="112"/>
      <c r="AO101" s="112"/>
      <c r="AP101" s="112"/>
      <c r="AQ101" s="113" t="s">
        <v>186</v>
      </c>
    </row>
    <row r="102" spans="1:50" ht="12.75" thickBot="1" x14ac:dyDescent="0.25">
      <c r="A102" s="82" t="s">
        <v>187</v>
      </c>
      <c r="B102" s="114"/>
      <c r="C102" s="114"/>
      <c r="D102" s="114"/>
      <c r="E102" s="114"/>
      <c r="F102" s="114"/>
      <c r="G102" s="114"/>
      <c r="H102" s="114"/>
      <c r="I102" s="114"/>
      <c r="J102" s="114"/>
      <c r="K102" s="114"/>
      <c r="L102" s="114"/>
      <c r="M102" s="114"/>
      <c r="N102" s="114"/>
      <c r="O102" s="114"/>
      <c r="P102" s="114"/>
      <c r="Q102" s="114"/>
      <c r="R102" s="114" t="s">
        <v>186</v>
      </c>
      <c r="S102" s="114" t="s">
        <v>186</v>
      </c>
      <c r="T102" s="114" t="s">
        <v>186</v>
      </c>
      <c r="U102" s="114" t="s">
        <v>186</v>
      </c>
      <c r="V102" s="114" t="s">
        <v>186</v>
      </c>
      <c r="W102" s="114" t="s">
        <v>186</v>
      </c>
      <c r="X102" s="114"/>
      <c r="Y102" s="114"/>
      <c r="Z102" s="114"/>
      <c r="AA102" s="114"/>
      <c r="AB102" s="114"/>
      <c r="AC102" s="115" t="s">
        <v>186</v>
      </c>
      <c r="AD102" s="115" t="s">
        <v>186</v>
      </c>
      <c r="AE102" s="115" t="s">
        <v>186</v>
      </c>
      <c r="AF102" s="115" t="s">
        <v>186</v>
      </c>
      <c r="AG102" s="115" t="s">
        <v>186</v>
      </c>
      <c r="AH102" s="115" t="s">
        <v>186</v>
      </c>
      <c r="AI102" s="115" t="s">
        <v>186</v>
      </c>
      <c r="AJ102" s="115" t="s">
        <v>186</v>
      </c>
      <c r="AK102" s="115" t="s">
        <v>186</v>
      </c>
      <c r="AL102" s="115" t="s">
        <v>186</v>
      </c>
      <c r="AM102" s="115" t="s">
        <v>186</v>
      </c>
      <c r="AN102" s="115" t="s">
        <v>186</v>
      </c>
      <c r="AO102" s="115" t="s">
        <v>186</v>
      </c>
      <c r="AP102" s="115" t="s">
        <v>186</v>
      </c>
      <c r="AQ102" s="36"/>
    </row>
    <row r="103" spans="1:50" ht="12.75" thickBot="1" x14ac:dyDescent="0.25"/>
    <row r="104" spans="1:50" ht="13.5" thickBot="1" x14ac:dyDescent="0.25">
      <c r="A104" s="377" t="s">
        <v>188</v>
      </c>
      <c r="B104" s="736" t="s">
        <v>189</v>
      </c>
      <c r="C104" s="737"/>
      <c r="D104" s="738" t="s">
        <v>190</v>
      </c>
      <c r="E104" s="739"/>
      <c r="F104" s="740" t="s">
        <v>191</v>
      </c>
      <c r="G104" s="741"/>
      <c r="I104" s="325" t="s">
        <v>192</v>
      </c>
    </row>
    <row r="105" spans="1:50" ht="12.75" x14ac:dyDescent="0.2">
      <c r="A105" s="384" t="s">
        <v>193</v>
      </c>
      <c r="B105" s="237"/>
      <c r="C105" s="238"/>
      <c r="D105" s="238"/>
      <c r="E105" s="238"/>
      <c r="F105" s="238"/>
      <c r="G105" s="239"/>
      <c r="I105" s="157" t="s">
        <v>44</v>
      </c>
    </row>
    <row r="106" spans="1:50" x14ac:dyDescent="0.2">
      <c r="A106" s="379" t="s">
        <v>194</v>
      </c>
      <c r="B106" s="590">
        <v>10</v>
      </c>
      <c r="C106" s="590"/>
      <c r="D106" s="591">
        <v>10</v>
      </c>
      <c r="E106" s="591">
        <v>8</v>
      </c>
      <c r="F106" s="592">
        <v>7</v>
      </c>
      <c r="G106" s="593">
        <v>0</v>
      </c>
    </row>
    <row r="107" spans="1:50" x14ac:dyDescent="0.2">
      <c r="A107" s="379" t="s">
        <v>195</v>
      </c>
      <c r="B107" s="594">
        <v>10</v>
      </c>
      <c r="C107" s="253">
        <v>8</v>
      </c>
      <c r="D107" s="595">
        <v>7</v>
      </c>
      <c r="E107" s="595">
        <v>6</v>
      </c>
      <c r="F107" s="596">
        <v>5</v>
      </c>
      <c r="G107" s="597">
        <v>0</v>
      </c>
    </row>
    <row r="108" spans="1:50" x14ac:dyDescent="0.2">
      <c r="A108" s="380" t="str">
        <f t="shared" ref="A108:A121" si="58">A38</f>
        <v>Integrated Mission Systems</v>
      </c>
      <c r="B108" s="499"/>
      <c r="C108" s="598"/>
      <c r="D108" s="598"/>
      <c r="E108" s="598"/>
      <c r="F108" s="598"/>
      <c r="G108" s="599"/>
    </row>
    <row r="109" spans="1:50" x14ac:dyDescent="0.2">
      <c r="A109" s="379" t="str">
        <f t="shared" si="58"/>
        <v>Ready MH-60R Command Control Communication Mission Systems (C)</v>
      </c>
      <c r="B109" s="233">
        <v>10</v>
      </c>
      <c r="C109" s="233">
        <f>ROUND(V39,0)</f>
        <v>5</v>
      </c>
      <c r="D109" s="235">
        <f t="shared" ref="D109:F118" si="59">C109-1</f>
        <v>4</v>
      </c>
      <c r="E109" s="235">
        <f t="shared" si="59"/>
        <v>3</v>
      </c>
      <c r="F109" s="236">
        <f t="shared" si="59"/>
        <v>2</v>
      </c>
      <c r="G109" s="234">
        <v>0</v>
      </c>
    </row>
    <row r="110" spans="1:50" x14ac:dyDescent="0.2">
      <c r="A110" s="379" t="str">
        <f t="shared" si="58"/>
        <v>Ready MH-60R Hawk Link Mission Systems (D)</v>
      </c>
      <c r="B110" s="590">
        <v>10</v>
      </c>
      <c r="C110" s="233">
        <f t="shared" ref="C110:C118" si="60">ROUND(V40,0)</f>
        <v>4</v>
      </c>
      <c r="D110" s="591">
        <f t="shared" si="59"/>
        <v>3</v>
      </c>
      <c r="E110" s="591">
        <f t="shared" si="59"/>
        <v>2</v>
      </c>
      <c r="F110" s="236">
        <f t="shared" si="59"/>
        <v>1</v>
      </c>
      <c r="G110" s="234">
        <v>0</v>
      </c>
    </row>
    <row r="111" spans="1:50" x14ac:dyDescent="0.2">
      <c r="A111" s="379" t="str">
        <f t="shared" si="58"/>
        <v>Ready MH-60R ASUW Mission Systems (E)</v>
      </c>
      <c r="B111" s="590">
        <v>10</v>
      </c>
      <c r="C111" s="233">
        <f t="shared" si="60"/>
        <v>4</v>
      </c>
      <c r="D111" s="591">
        <f t="shared" si="59"/>
        <v>3</v>
      </c>
      <c r="E111" s="591">
        <f t="shared" si="59"/>
        <v>2</v>
      </c>
      <c r="F111" s="236">
        <f t="shared" si="59"/>
        <v>1</v>
      </c>
      <c r="G111" s="234">
        <v>0</v>
      </c>
    </row>
    <row r="112" spans="1:50" x14ac:dyDescent="0.2">
      <c r="A112" s="379" t="str">
        <f t="shared" si="58"/>
        <v>Ready MH-60R ASW Mission Systems (F)</v>
      </c>
      <c r="B112" s="590">
        <v>10</v>
      </c>
      <c r="C112" s="233">
        <f t="shared" si="60"/>
        <v>3</v>
      </c>
      <c r="D112" s="591">
        <f t="shared" si="59"/>
        <v>2</v>
      </c>
      <c r="E112" s="591">
        <v>2</v>
      </c>
      <c r="F112" s="236">
        <v>1</v>
      </c>
      <c r="G112" s="234">
        <v>0</v>
      </c>
    </row>
    <row r="113" spans="1:7" x14ac:dyDescent="0.2">
      <c r="A113" s="379" t="str">
        <f t="shared" si="58"/>
        <v>Ready MH-60R Ordnance Mission Systems (G)</v>
      </c>
      <c r="B113" s="590">
        <v>10</v>
      </c>
      <c r="C113" s="233">
        <f t="shared" si="60"/>
        <v>4</v>
      </c>
      <c r="D113" s="591">
        <f t="shared" si="59"/>
        <v>3</v>
      </c>
      <c r="E113" s="591">
        <f t="shared" si="59"/>
        <v>2</v>
      </c>
      <c r="F113" s="236">
        <f t="shared" si="59"/>
        <v>1</v>
      </c>
      <c r="G113" s="593">
        <v>0</v>
      </c>
    </row>
    <row r="114" spans="1:7" x14ac:dyDescent="0.2">
      <c r="A114" s="379" t="str">
        <f t="shared" si="58"/>
        <v>Ready MH-60R Survivability Mission Systems (H)</v>
      </c>
      <c r="B114" s="594">
        <v>10</v>
      </c>
      <c r="C114" s="233">
        <f t="shared" si="60"/>
        <v>2</v>
      </c>
      <c r="D114" s="595">
        <f t="shared" si="59"/>
        <v>1</v>
      </c>
      <c r="E114" s="595">
        <v>1</v>
      </c>
      <c r="F114" s="236">
        <f t="shared" si="59"/>
        <v>0</v>
      </c>
      <c r="G114" s="597">
        <v>0</v>
      </c>
    </row>
    <row r="115" spans="1:7" x14ac:dyDescent="0.2">
      <c r="A115" s="379" t="str">
        <f t="shared" si="58"/>
        <v>Ready MH-60R Basic Mission Systems (I)</v>
      </c>
      <c r="B115" s="594">
        <v>10</v>
      </c>
      <c r="C115" s="233">
        <f t="shared" si="60"/>
        <v>7</v>
      </c>
      <c r="D115" s="595">
        <f t="shared" si="59"/>
        <v>6</v>
      </c>
      <c r="E115" s="595">
        <f t="shared" si="59"/>
        <v>5</v>
      </c>
      <c r="F115" s="236">
        <f t="shared" si="59"/>
        <v>4</v>
      </c>
      <c r="G115" s="597">
        <v>0</v>
      </c>
    </row>
    <row r="116" spans="1:7" x14ac:dyDescent="0.2">
      <c r="A116" s="379" t="str">
        <f t="shared" si="58"/>
        <v>Ready MH-60R Extended Mobility Mission Systems (J)</v>
      </c>
      <c r="B116" s="594">
        <v>10</v>
      </c>
      <c r="C116" s="233">
        <f t="shared" si="60"/>
        <v>3</v>
      </c>
      <c r="D116" s="595">
        <f t="shared" si="59"/>
        <v>2</v>
      </c>
      <c r="E116" s="595">
        <v>2</v>
      </c>
      <c r="F116" s="236">
        <f t="shared" si="59"/>
        <v>1</v>
      </c>
      <c r="G116" s="597">
        <v>0</v>
      </c>
    </row>
    <row r="117" spans="1:7" x14ac:dyDescent="0.2">
      <c r="A117" s="379" t="str">
        <f t="shared" si="58"/>
        <v>Ready MH-60R Shipboard Mission Systems (K)</v>
      </c>
      <c r="B117" s="594">
        <v>10</v>
      </c>
      <c r="C117" s="233">
        <f t="shared" si="60"/>
        <v>8</v>
      </c>
      <c r="D117" s="595">
        <f t="shared" si="59"/>
        <v>7</v>
      </c>
      <c r="E117" s="595">
        <f t="shared" si="59"/>
        <v>6</v>
      </c>
      <c r="F117" s="236">
        <f t="shared" si="59"/>
        <v>5</v>
      </c>
      <c r="G117" s="597">
        <v>0</v>
      </c>
    </row>
    <row r="118" spans="1:7" x14ac:dyDescent="0.2">
      <c r="A118" s="379" t="str">
        <f t="shared" si="58"/>
        <v>Ready MH-60R IMC Flight Mission Systems (L)</v>
      </c>
      <c r="B118" s="594">
        <v>10</v>
      </c>
      <c r="C118" s="233">
        <f t="shared" si="60"/>
        <v>8</v>
      </c>
      <c r="D118" s="595">
        <f t="shared" si="59"/>
        <v>7</v>
      </c>
      <c r="E118" s="595">
        <f t="shared" si="59"/>
        <v>6</v>
      </c>
      <c r="F118" s="236">
        <f t="shared" si="59"/>
        <v>5</v>
      </c>
      <c r="G118" s="597">
        <v>0</v>
      </c>
    </row>
    <row r="119" spans="1:7" x14ac:dyDescent="0.2">
      <c r="A119" s="381" t="str">
        <f t="shared" si="58"/>
        <v>Non-Integrated Mission Systems</v>
      </c>
      <c r="B119" s="499"/>
      <c r="C119" s="598"/>
      <c r="D119" s="598"/>
      <c r="E119" s="598"/>
      <c r="F119" s="598"/>
      <c r="G119" s="599"/>
    </row>
    <row r="120" spans="1:7" x14ac:dyDescent="0.2">
      <c r="A120" s="379" t="str">
        <f t="shared" si="58"/>
        <v xml:space="preserve">Assigned ALFS </v>
      </c>
      <c r="B120" s="233">
        <v>10</v>
      </c>
      <c r="C120" s="233"/>
      <c r="D120" s="235">
        <v>9</v>
      </c>
      <c r="E120" s="235">
        <v>6</v>
      </c>
      <c r="F120" s="236">
        <v>5</v>
      </c>
      <c r="G120" s="234">
        <v>0</v>
      </c>
    </row>
    <row r="121" spans="1:7" ht="12.75" thickBot="1" x14ac:dyDescent="0.25">
      <c r="A121" s="382" t="str">
        <f t="shared" si="58"/>
        <v xml:space="preserve">Ready ALFS </v>
      </c>
      <c r="B121" s="274">
        <v>10</v>
      </c>
      <c r="C121" s="274">
        <v>6</v>
      </c>
      <c r="D121" s="231">
        <v>5</v>
      </c>
      <c r="E121" s="231"/>
      <c r="F121" s="232">
        <v>4</v>
      </c>
      <c r="G121" s="275">
        <v>0</v>
      </c>
    </row>
    <row r="124" spans="1:7" x14ac:dyDescent="0.2">
      <c r="A124" s="383" t="s">
        <v>196</v>
      </c>
      <c r="B124" s="383" t="s">
        <v>200</v>
      </c>
    </row>
    <row r="125" spans="1:7" x14ac:dyDescent="0.2">
      <c r="A125" s="600" t="s">
        <v>198</v>
      </c>
      <c r="B125" s="601">
        <f>HLOOKUP($B$124,'MH-60R Mission System Summary'!$B$1:$F$12,2,FALSE)</f>
        <v>0.84644714417569877</v>
      </c>
    </row>
    <row r="126" spans="1:7" x14ac:dyDescent="0.2">
      <c r="A126" s="600" t="s">
        <v>142</v>
      </c>
      <c r="B126" s="601">
        <f>HLOOKUP($B$124,'MH-60R Mission System Summary'!$B$1:$F$12,3,FALSE)</f>
        <v>0.68039861613732344</v>
      </c>
    </row>
    <row r="127" spans="1:7" x14ac:dyDescent="0.2">
      <c r="A127" s="600" t="s">
        <v>143</v>
      </c>
      <c r="B127" s="601">
        <f>HLOOKUP($B$124,'MH-60R Mission System Summary'!$B$1:$F$12,4,FALSE)</f>
        <v>0.51802981180318264</v>
      </c>
    </row>
    <row r="128" spans="1:7" x14ac:dyDescent="0.2">
      <c r="A128" s="600" t="s">
        <v>144</v>
      </c>
      <c r="B128" s="601">
        <f>HLOOKUP($B$124,'MH-60R Mission System Summary'!$B$1:$F$12,5,FALSE)</f>
        <v>0.52904319969406421</v>
      </c>
    </row>
    <row r="129" spans="1:2" x14ac:dyDescent="0.2">
      <c r="A129" s="600" t="s">
        <v>145</v>
      </c>
      <c r="B129" s="601">
        <f>HLOOKUP($B$124,'MH-60R Mission System Summary'!$B$1:$F$12,6,FALSE)</f>
        <v>0.35723434859631065</v>
      </c>
    </row>
    <row r="130" spans="1:2" x14ac:dyDescent="0.2">
      <c r="A130" s="600" t="s">
        <v>146</v>
      </c>
      <c r="B130" s="601">
        <f>HLOOKUP($B$124,'MH-60R Mission System Summary'!$B$1:$F$12,7,FALSE)</f>
        <v>0.45841156910101055</v>
      </c>
    </row>
    <row r="131" spans="1:2" x14ac:dyDescent="0.2">
      <c r="A131" s="600" t="s">
        <v>147</v>
      </c>
      <c r="B131" s="601">
        <f>HLOOKUP($B$124,'MH-60R Mission System Summary'!$B$1:$F$12,8,FALSE)</f>
        <v>0.25472392850481967</v>
      </c>
    </row>
    <row r="132" spans="1:2" x14ac:dyDescent="0.2">
      <c r="A132" s="600" t="s">
        <v>148</v>
      </c>
      <c r="B132" s="601">
        <f>HLOOKUP($B$124,'MH-60R Mission System Summary'!$B$1:$F$12,9,FALSE)</f>
        <v>0.8589428163897731</v>
      </c>
    </row>
    <row r="133" spans="1:2" x14ac:dyDescent="0.2">
      <c r="A133" s="600" t="s">
        <v>149</v>
      </c>
      <c r="B133" s="601">
        <f>HLOOKUP($B$124,'MH-60R Mission System Summary'!$B$1:$F$12,10,FALSE)</f>
        <v>0.32891411420612238</v>
      </c>
    </row>
    <row r="134" spans="1:2" x14ac:dyDescent="0.2">
      <c r="A134" s="600" t="s">
        <v>150</v>
      </c>
      <c r="B134" s="601">
        <f>HLOOKUP($B$124,'MH-60R Mission System Summary'!$B$1:$F$12,11,FALSE)</f>
        <v>0.17504135195923315</v>
      </c>
    </row>
    <row r="135" spans="1:2" x14ac:dyDescent="0.2">
      <c r="A135" s="600" t="s">
        <v>151</v>
      </c>
      <c r="B135" s="601">
        <f>HLOOKUP($B$124,'MH-60R Mission System Summary'!$B$1:$F$12,12,FALSE)</f>
        <v>1</v>
      </c>
    </row>
  </sheetData>
  <mergeCells count="29">
    <mergeCell ref="A85:B85"/>
    <mergeCell ref="A100:B100"/>
    <mergeCell ref="B104:C104"/>
    <mergeCell ref="D104:E104"/>
    <mergeCell ref="F104:G104"/>
    <mergeCell ref="AD16:AF16"/>
    <mergeCell ref="AG16:AI16"/>
    <mergeCell ref="AJ16:AL16"/>
    <mergeCell ref="AM16:AP16"/>
    <mergeCell ref="A74:AQ74"/>
    <mergeCell ref="R16:W16"/>
    <mergeCell ref="X16:AB16"/>
    <mergeCell ref="A84:B84"/>
    <mergeCell ref="B16:G16"/>
    <mergeCell ref="H16:J16"/>
    <mergeCell ref="K16:M16"/>
    <mergeCell ref="N16:Q16"/>
    <mergeCell ref="AC12:AP12"/>
    <mergeCell ref="A1:G1"/>
    <mergeCell ref="M1:P1"/>
    <mergeCell ref="AD1:AE1"/>
    <mergeCell ref="L2:O2"/>
    <mergeCell ref="L3:N3"/>
    <mergeCell ref="L4:N4"/>
    <mergeCell ref="L5:N5"/>
    <mergeCell ref="L6:N6"/>
    <mergeCell ref="L7:N7"/>
    <mergeCell ref="L8:N8"/>
    <mergeCell ref="L9:N9"/>
  </mergeCells>
  <conditionalFormatting sqref="C106:C121">
    <cfRule type="cellIs" dxfId="154" priority="20" operator="equal">
      <formula>B106</formula>
    </cfRule>
  </conditionalFormatting>
  <conditionalFormatting sqref="D106:E115 D119:E121">
    <cfRule type="cellIs" dxfId="153" priority="19" operator="equal">
      <formula>C106</formula>
    </cfRule>
  </conditionalFormatting>
  <conditionalFormatting sqref="E106">
    <cfRule type="cellIs" dxfId="152" priority="18" operator="equal">
      <formula>D106</formula>
    </cfRule>
  </conditionalFormatting>
  <conditionalFormatting sqref="F106">
    <cfRule type="cellIs" dxfId="151" priority="17" operator="equal">
      <formula>E106</formula>
    </cfRule>
  </conditionalFormatting>
  <conditionalFormatting sqref="F107:F121">
    <cfRule type="cellIs" dxfId="150" priority="15" operator="equal">
      <formula>G107</formula>
    </cfRule>
    <cfRule type="cellIs" dxfId="149" priority="16" operator="equal">
      <formula>E107</formula>
    </cfRule>
  </conditionalFormatting>
  <conditionalFormatting sqref="C106:C118">
    <cfRule type="cellIs" dxfId="148" priority="14" operator="equal">
      <formula>B106</formula>
    </cfRule>
  </conditionalFormatting>
  <conditionalFormatting sqref="D106:E115">
    <cfRule type="cellIs" dxfId="147" priority="13" operator="equal">
      <formula>C106</formula>
    </cfRule>
  </conditionalFormatting>
  <conditionalFormatting sqref="E106">
    <cfRule type="cellIs" dxfId="146" priority="12" operator="equal">
      <formula>D106</formula>
    </cfRule>
  </conditionalFormatting>
  <conditionalFormatting sqref="F106">
    <cfRule type="cellIs" dxfId="145" priority="11" operator="equal">
      <formula>E106</formula>
    </cfRule>
  </conditionalFormatting>
  <conditionalFormatting sqref="F107:F118">
    <cfRule type="cellIs" dxfId="144" priority="9" operator="equal">
      <formula>G107</formula>
    </cfRule>
    <cfRule type="cellIs" dxfId="143" priority="10" operator="equal">
      <formula>E107</formula>
    </cfRule>
  </conditionalFormatting>
  <conditionalFormatting sqref="F106">
    <cfRule type="cellIs" dxfId="142" priority="8" operator="equal">
      <formula>E106</formula>
    </cfRule>
  </conditionalFormatting>
  <conditionalFormatting sqref="C106">
    <cfRule type="cellIs" dxfId="141" priority="7" operator="equal">
      <formula>B106</formula>
    </cfRule>
  </conditionalFormatting>
  <conditionalFormatting sqref="D106">
    <cfRule type="cellIs" dxfId="140" priority="6" operator="equal">
      <formula>C106</formula>
    </cfRule>
  </conditionalFormatting>
  <conditionalFormatting sqref="E106">
    <cfRule type="cellIs" dxfId="139" priority="5" operator="equal">
      <formula>D106</formula>
    </cfRule>
  </conditionalFormatting>
  <conditionalFormatting sqref="D106">
    <cfRule type="cellIs" dxfId="138" priority="4" operator="equal">
      <formula>C106</formula>
    </cfRule>
  </conditionalFormatting>
  <conditionalFormatting sqref="E106">
    <cfRule type="cellIs" dxfId="137" priority="3" operator="equal">
      <formula>D106</formula>
    </cfRule>
  </conditionalFormatting>
  <conditionalFormatting sqref="D116:E118">
    <cfRule type="cellIs" dxfId="136" priority="2" operator="equal">
      <formula>C116</formula>
    </cfRule>
  </conditionalFormatting>
  <conditionalFormatting sqref="D116:E118">
    <cfRule type="cellIs" dxfId="135" priority="1" operator="equal">
      <formula>C116</formula>
    </cfRule>
  </conditionalFormatting>
  <hyperlinks>
    <hyperlink ref="H1" location="Inventory!A1" display="Inventory" xr:uid="{00000000-0004-0000-0300-000000000000}"/>
    <hyperlink ref="H2" location="'MH-60R CVW 10 Plane 18 Crew'!A121" display="AMFOM" xr:uid="{00000000-0004-0000-0300-000001000000}"/>
    <hyperlink ref="I104" location="'MH-60R CVW 10 Plane 18 Crew'!A1" display="Top" xr:uid="{00000000-0004-0000-0300-000002000000}"/>
    <hyperlink ref="I105" location="Inventory!A1" display="Inventory" xr:uid="{00000000-0004-0000-0300-000003000000}"/>
  </hyperlinks>
  <printOptions horizontalCentered="1" verticalCentered="1"/>
  <pageMargins left="0.5" right="0.25" top="0.5" bottom="0.5" header="0.5" footer="0.5"/>
  <pageSetup scale="3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AD135"/>
  <sheetViews>
    <sheetView showGridLines="0" topLeftCell="A23" workbookViewId="0">
      <selection activeCell="C50" sqref="C50"/>
    </sheetView>
  </sheetViews>
  <sheetFormatPr defaultRowHeight="12" x14ac:dyDescent="0.2"/>
  <cols>
    <col min="1" max="1" width="55" style="15" bestFit="1" customWidth="1"/>
    <col min="2" max="29" width="5.7109375" style="15" customWidth="1"/>
    <col min="30" max="16384" width="9.140625" style="15"/>
  </cols>
  <sheetData>
    <row r="1" spans="1:30" s="138" customFormat="1" ht="18.75" x14ac:dyDescent="0.3">
      <c r="A1" s="755" t="s">
        <v>201</v>
      </c>
      <c r="B1" s="755"/>
      <c r="C1" s="755"/>
      <c r="D1" s="755"/>
      <c r="E1" s="755"/>
      <c r="F1" s="755"/>
      <c r="G1" s="755"/>
      <c r="H1" s="144" t="s">
        <v>44</v>
      </c>
      <c r="K1" s="139"/>
      <c r="L1" s="147" t="s">
        <v>45</v>
      </c>
      <c r="M1" s="728">
        <v>44835</v>
      </c>
      <c r="N1" s="729"/>
      <c r="O1" s="730"/>
      <c r="P1" s="730"/>
      <c r="AC1" s="368" t="s">
        <v>46</v>
      </c>
      <c r="AD1" s="456">
        <v>6.03</v>
      </c>
    </row>
    <row r="2" spans="1:30" s="5" customFormat="1" ht="12.75" x14ac:dyDescent="0.2">
      <c r="A2" s="1" t="s">
        <v>47</v>
      </c>
      <c r="B2" s="2">
        <v>7</v>
      </c>
      <c r="C2" s="3"/>
      <c r="D2" s="4"/>
      <c r="H2" s="326" t="s">
        <v>3</v>
      </c>
      <c r="L2" s="742" t="s">
        <v>48</v>
      </c>
      <c r="M2" s="743"/>
      <c r="N2" s="743"/>
      <c r="O2" s="744"/>
    </row>
    <row r="3" spans="1:30" s="5" customFormat="1" ht="11.25" x14ac:dyDescent="0.2">
      <c r="A3" s="1" t="s">
        <v>49</v>
      </c>
      <c r="B3" s="136">
        <f>B4/B2</f>
        <v>2</v>
      </c>
      <c r="C3" s="3"/>
      <c r="D3" s="4"/>
      <c r="E3" s="1"/>
      <c r="F3" s="4"/>
      <c r="L3" s="721" t="s">
        <v>50</v>
      </c>
      <c r="M3" s="722"/>
      <c r="N3" s="723"/>
      <c r="O3" s="486">
        <v>0.2</v>
      </c>
    </row>
    <row r="4" spans="1:30" s="5" customFormat="1" ht="11.25" x14ac:dyDescent="0.2">
      <c r="A4" s="1" t="s">
        <v>51</v>
      </c>
      <c r="B4" s="2">
        <v>14</v>
      </c>
      <c r="C4" s="3"/>
      <c r="D4" s="4"/>
      <c r="E4" s="1"/>
      <c r="F4" s="4"/>
      <c r="G4" s="7"/>
      <c r="H4" s="7"/>
      <c r="L4" s="749" t="s">
        <v>52</v>
      </c>
      <c r="M4" s="749"/>
      <c r="N4" s="749"/>
      <c r="O4" s="486">
        <v>0.4</v>
      </c>
    </row>
    <row r="5" spans="1:30" s="5" customFormat="1" ht="11.25" x14ac:dyDescent="0.2">
      <c r="A5" s="1" t="s">
        <v>53</v>
      </c>
      <c r="B5" s="3">
        <v>2</v>
      </c>
      <c r="C5" s="8"/>
      <c r="D5" s="4"/>
      <c r="E5" s="1"/>
      <c r="F5" s="4"/>
      <c r="G5" s="7"/>
      <c r="H5" s="7"/>
      <c r="L5" s="750" t="s">
        <v>54</v>
      </c>
      <c r="M5" s="750"/>
      <c r="N5" s="750"/>
      <c r="O5" s="487">
        <v>0.55000000000000004</v>
      </c>
    </row>
    <row r="6" spans="1:30" s="5" customFormat="1" ht="11.25" x14ac:dyDescent="0.2">
      <c r="A6" s="9" t="s">
        <v>55</v>
      </c>
      <c r="B6" s="3">
        <v>28</v>
      </c>
      <c r="C6" s="8"/>
      <c r="D6" s="4"/>
      <c r="E6" s="9"/>
      <c r="F6" s="4"/>
      <c r="G6" s="7"/>
      <c r="H6" s="7"/>
      <c r="L6" s="749" t="s">
        <v>56</v>
      </c>
      <c r="M6" s="749"/>
      <c r="N6" s="749"/>
      <c r="O6" s="486">
        <v>0.55000000000000004</v>
      </c>
    </row>
    <row r="7" spans="1:30" s="5" customFormat="1" ht="11.25" x14ac:dyDescent="0.2">
      <c r="A7" s="1" t="s">
        <v>57</v>
      </c>
      <c r="B7" s="148">
        <f>B6*B4</f>
        <v>392</v>
      </c>
      <c r="C7" s="10"/>
      <c r="D7" s="11"/>
      <c r="E7" s="1"/>
      <c r="F7" s="4"/>
      <c r="G7" s="7"/>
      <c r="H7" s="7"/>
      <c r="L7" s="751" t="s">
        <v>58</v>
      </c>
      <c r="M7" s="752"/>
      <c r="N7" s="753"/>
      <c r="O7" s="486">
        <v>0.6</v>
      </c>
    </row>
    <row r="8" spans="1:30" s="5" customFormat="1" ht="11.25" x14ac:dyDescent="0.2">
      <c r="A8" s="1" t="s">
        <v>59</v>
      </c>
      <c r="B8" s="3">
        <f>B7/B5</f>
        <v>196</v>
      </c>
      <c r="C8" s="3">
        <f>B8/B4</f>
        <v>14</v>
      </c>
      <c r="D8" s="11" t="s">
        <v>60</v>
      </c>
      <c r="E8" s="1"/>
      <c r="F8" s="4"/>
      <c r="G8" s="7"/>
      <c r="H8" s="7"/>
      <c r="L8" s="721" t="s">
        <v>61</v>
      </c>
      <c r="M8" s="722"/>
      <c r="N8" s="723"/>
      <c r="O8" s="486">
        <v>0.75</v>
      </c>
    </row>
    <row r="9" spans="1:30" s="5" customFormat="1" ht="11.25" x14ac:dyDescent="0.2">
      <c r="A9" s="1" t="s">
        <v>62</v>
      </c>
      <c r="B9" s="3">
        <f>C9*$B$4</f>
        <v>14</v>
      </c>
      <c r="C9" s="3">
        <v>1</v>
      </c>
      <c r="D9" s="5" t="s">
        <v>60</v>
      </c>
      <c r="E9" s="1"/>
      <c r="F9" s="4"/>
      <c r="G9" s="102" t="s">
        <v>63</v>
      </c>
      <c r="H9" s="103">
        <v>0.4</v>
      </c>
      <c r="I9" s="7"/>
      <c r="J9" s="7"/>
      <c r="K9" s="7"/>
      <c r="L9" s="754" t="s">
        <v>64</v>
      </c>
      <c r="M9" s="754"/>
      <c r="N9" s="754"/>
      <c r="O9" s="43"/>
    </row>
    <row r="10" spans="1:30" s="5" customFormat="1" ht="11.25" x14ac:dyDescent="0.2">
      <c r="A10" s="1" t="s">
        <v>65</v>
      </c>
      <c r="B10" s="3">
        <f>C10*$B$4</f>
        <v>206.64</v>
      </c>
      <c r="C10" s="3">
        <v>14.76</v>
      </c>
      <c r="D10" s="5" t="s">
        <v>60</v>
      </c>
      <c r="E10" s="1"/>
      <c r="F10" s="4"/>
      <c r="G10" s="104" t="s">
        <v>66</v>
      </c>
      <c r="H10" s="103">
        <v>0.28699999999999998</v>
      </c>
      <c r="I10" s="7"/>
      <c r="J10" s="7"/>
      <c r="K10" s="7"/>
      <c r="L10" s="7"/>
      <c r="M10" s="7"/>
    </row>
    <row r="11" spans="1:30" s="5" customFormat="1" ht="11.25" x14ac:dyDescent="0.2">
      <c r="A11" s="215" t="s">
        <v>67</v>
      </c>
      <c r="B11" s="5">
        <f>C11*B4</f>
        <v>50.4</v>
      </c>
      <c r="C11" s="6">
        <v>3.6</v>
      </c>
      <c r="D11" s="12" t="s">
        <v>60</v>
      </c>
      <c r="E11" s="12"/>
      <c r="F11" s="7"/>
      <c r="G11" s="7"/>
      <c r="H11" s="7"/>
      <c r="I11" s="7"/>
      <c r="J11" s="7"/>
      <c r="K11" s="7"/>
      <c r="L11" s="7"/>
      <c r="M11" s="7"/>
    </row>
    <row r="12" spans="1:30" s="5" customFormat="1" ht="11.25" x14ac:dyDescent="0.2">
      <c r="C12" s="12"/>
      <c r="D12" s="12"/>
      <c r="E12" s="12"/>
      <c r="F12" s="7"/>
      <c r="G12" s="7"/>
      <c r="H12" s="7"/>
      <c r="I12" s="7"/>
      <c r="J12" s="7"/>
      <c r="K12" s="7"/>
      <c r="L12" s="7"/>
      <c r="M12" s="7"/>
    </row>
    <row r="13" spans="1:30" s="13" customFormat="1" ht="59.25" customHeight="1" x14ac:dyDescent="0.2">
      <c r="A13" s="488" t="s">
        <v>69</v>
      </c>
      <c r="B13" s="602" t="s">
        <v>61</v>
      </c>
      <c r="C13" s="602" t="s">
        <v>61</v>
      </c>
      <c r="D13" s="602" t="s">
        <v>58</v>
      </c>
      <c r="E13" s="602" t="s">
        <v>58</v>
      </c>
      <c r="F13" s="602" t="s">
        <v>58</v>
      </c>
      <c r="G13" s="602" t="s">
        <v>61</v>
      </c>
      <c r="H13" s="602" t="s">
        <v>61</v>
      </c>
      <c r="I13" s="602" t="s">
        <v>61</v>
      </c>
      <c r="J13" s="602" t="s">
        <v>58</v>
      </c>
      <c r="K13" s="602" t="s">
        <v>58</v>
      </c>
      <c r="L13" s="602" t="s">
        <v>58</v>
      </c>
      <c r="M13" s="603" t="s">
        <v>58</v>
      </c>
      <c r="N13" s="604" t="s">
        <v>70</v>
      </c>
    </row>
    <row r="14" spans="1:30" s="14" customFormat="1" x14ac:dyDescent="0.2">
      <c r="A14" s="488" t="s">
        <v>71</v>
      </c>
      <c r="B14" s="605" t="s">
        <v>88</v>
      </c>
      <c r="C14" s="605" t="s">
        <v>89</v>
      </c>
      <c r="D14" s="605" t="s">
        <v>74</v>
      </c>
      <c r="E14" s="605" t="s">
        <v>75</v>
      </c>
      <c r="F14" s="605" t="s">
        <v>76</v>
      </c>
      <c r="G14" s="605" t="s">
        <v>90</v>
      </c>
      <c r="H14" s="605" t="s">
        <v>91</v>
      </c>
      <c r="I14" s="605" t="s">
        <v>92</v>
      </c>
      <c r="J14" s="605" t="s">
        <v>80</v>
      </c>
      <c r="K14" s="605" t="s">
        <v>81</v>
      </c>
      <c r="L14" s="605" t="s">
        <v>82</v>
      </c>
      <c r="M14" s="606" t="s">
        <v>83</v>
      </c>
      <c r="N14" s="607" t="s">
        <v>113</v>
      </c>
    </row>
    <row r="15" spans="1:30" s="14" customFormat="1" x14ac:dyDescent="0.2">
      <c r="A15" s="488" t="s">
        <v>114</v>
      </c>
      <c r="B15" s="608">
        <v>1</v>
      </c>
      <c r="C15" s="608">
        <v>2</v>
      </c>
      <c r="D15" s="608">
        <v>3</v>
      </c>
      <c r="E15" s="608">
        <v>4</v>
      </c>
      <c r="F15" s="608">
        <v>5</v>
      </c>
      <c r="G15" s="608">
        <v>6</v>
      </c>
      <c r="H15" s="608">
        <v>7</v>
      </c>
      <c r="I15" s="608">
        <v>8</v>
      </c>
      <c r="J15" s="608">
        <v>9</v>
      </c>
      <c r="K15" s="608">
        <v>10</v>
      </c>
      <c r="L15" s="608">
        <v>11</v>
      </c>
      <c r="M15" s="609">
        <v>12</v>
      </c>
      <c r="N15" s="607">
        <v>28</v>
      </c>
    </row>
    <row r="16" spans="1:30" x14ac:dyDescent="0.2">
      <c r="A16" s="488" t="s">
        <v>115</v>
      </c>
      <c r="B16" s="756" t="s">
        <v>61</v>
      </c>
      <c r="C16" s="757"/>
      <c r="D16" s="756" t="s">
        <v>58</v>
      </c>
      <c r="E16" s="758"/>
      <c r="F16" s="757"/>
      <c r="G16" s="756" t="s">
        <v>61</v>
      </c>
      <c r="H16" s="758"/>
      <c r="I16" s="757"/>
      <c r="J16" s="610" t="s">
        <v>58</v>
      </c>
      <c r="K16" s="759" t="s">
        <v>202</v>
      </c>
      <c r="L16" s="759"/>
      <c r="M16" s="756"/>
      <c r="N16" s="611" t="s">
        <v>118</v>
      </c>
    </row>
    <row r="17" spans="1:14" ht="12.75" x14ac:dyDescent="0.2">
      <c r="A17" s="51" t="s">
        <v>119</v>
      </c>
      <c r="B17" s="499"/>
      <c r="C17" s="500"/>
      <c r="D17" s="500"/>
      <c r="E17" s="500"/>
      <c r="F17" s="500"/>
      <c r="G17" s="500"/>
      <c r="H17" s="500"/>
      <c r="I17" s="500"/>
      <c r="J17" s="500"/>
      <c r="K17" s="500"/>
      <c r="L17" s="500"/>
      <c r="M17" s="500"/>
      <c r="N17" s="507"/>
    </row>
    <row r="18" spans="1:14" s="52" customFormat="1" x14ac:dyDescent="0.2">
      <c r="A18" s="501" t="s">
        <v>120</v>
      </c>
      <c r="B18" s="249">
        <f>IF(B77&lt;80,B78,MIN(B77,80))</f>
        <v>80</v>
      </c>
      <c r="C18" s="249">
        <f t="shared" ref="C18:M18" si="0">IF(C77&lt;80,C78,MIN(C77,80))</f>
        <v>80</v>
      </c>
      <c r="D18" s="249">
        <f t="shared" si="0"/>
        <v>80</v>
      </c>
      <c r="E18" s="249">
        <f t="shared" si="0"/>
        <v>80</v>
      </c>
      <c r="F18" s="249">
        <f t="shared" si="0"/>
        <v>80</v>
      </c>
      <c r="G18" s="249">
        <f t="shared" si="0"/>
        <v>80</v>
      </c>
      <c r="H18" s="249">
        <f t="shared" si="0"/>
        <v>80</v>
      </c>
      <c r="I18" s="249">
        <f t="shared" si="0"/>
        <v>80</v>
      </c>
      <c r="J18" s="249">
        <f t="shared" si="0"/>
        <v>80</v>
      </c>
      <c r="K18" s="249">
        <f t="shared" si="0"/>
        <v>80</v>
      </c>
      <c r="L18" s="249">
        <f t="shared" si="0"/>
        <v>80</v>
      </c>
      <c r="M18" s="250">
        <f t="shared" si="0"/>
        <v>80</v>
      </c>
      <c r="N18" s="249">
        <f>MIN(N78,80)</f>
        <v>26.062996062994095</v>
      </c>
    </row>
    <row r="19" spans="1:14" x14ac:dyDescent="0.2">
      <c r="A19" s="507" t="s">
        <v>121</v>
      </c>
      <c r="B19" s="612">
        <v>0.8</v>
      </c>
      <c r="C19" s="612">
        <v>0.8</v>
      </c>
      <c r="D19" s="612">
        <v>0.6</v>
      </c>
      <c r="E19" s="612">
        <v>0.75</v>
      </c>
      <c r="F19" s="612">
        <v>0.75</v>
      </c>
      <c r="G19" s="612">
        <v>0.8</v>
      </c>
      <c r="H19" s="612">
        <v>0.8</v>
      </c>
      <c r="I19" s="612">
        <v>0.8</v>
      </c>
      <c r="J19" s="612">
        <v>0.6</v>
      </c>
      <c r="K19" s="612">
        <v>0.75</v>
      </c>
      <c r="L19" s="612">
        <v>0.75</v>
      </c>
      <c r="M19" s="613">
        <v>0.75</v>
      </c>
      <c r="N19" s="508">
        <v>0.4</v>
      </c>
    </row>
    <row r="20" spans="1:14" x14ac:dyDescent="0.2">
      <c r="A20" s="512" t="s">
        <v>122</v>
      </c>
      <c r="B20" s="509"/>
      <c r="C20" s="513"/>
      <c r="D20" s="513"/>
      <c r="E20" s="513"/>
      <c r="F20" s="513"/>
      <c r="G20" s="513"/>
      <c r="H20" s="513"/>
      <c r="I20" s="513"/>
      <c r="J20" s="513"/>
      <c r="K20" s="513"/>
      <c r="L20" s="513"/>
      <c r="M20" s="513"/>
      <c r="N20" s="508"/>
    </row>
    <row r="21" spans="1:14" s="16" customFormat="1" x14ac:dyDescent="0.2">
      <c r="A21" s="515" t="s">
        <v>123</v>
      </c>
      <c r="B21" s="251">
        <f t="shared" ref="B21:M21" si="1">B19*$B$8</f>
        <v>156.80000000000001</v>
      </c>
      <c r="C21" s="251">
        <f t="shared" si="1"/>
        <v>156.80000000000001</v>
      </c>
      <c r="D21" s="251">
        <f t="shared" si="1"/>
        <v>117.6</v>
      </c>
      <c r="E21" s="251">
        <f t="shared" si="1"/>
        <v>147</v>
      </c>
      <c r="F21" s="251">
        <f t="shared" si="1"/>
        <v>147</v>
      </c>
      <c r="G21" s="251">
        <f t="shared" si="1"/>
        <v>156.80000000000001</v>
      </c>
      <c r="H21" s="251">
        <f t="shared" si="1"/>
        <v>156.80000000000001</v>
      </c>
      <c r="I21" s="251">
        <f t="shared" si="1"/>
        <v>156.80000000000001</v>
      </c>
      <c r="J21" s="251">
        <f t="shared" si="1"/>
        <v>117.6</v>
      </c>
      <c r="K21" s="251">
        <f t="shared" si="1"/>
        <v>147</v>
      </c>
      <c r="L21" s="251">
        <f t="shared" si="1"/>
        <v>147</v>
      </c>
      <c r="M21" s="252">
        <f t="shared" si="1"/>
        <v>147</v>
      </c>
      <c r="N21" s="516">
        <f>N19*$B$8</f>
        <v>78.400000000000006</v>
      </c>
    </row>
    <row r="22" spans="1:14" s="17" customFormat="1" x14ac:dyDescent="0.2">
      <c r="A22" s="515" t="s">
        <v>124</v>
      </c>
      <c r="B22" s="520">
        <f t="shared" ref="B22:N22" si="2">B21*$B$5</f>
        <v>313.60000000000002</v>
      </c>
      <c r="C22" s="520">
        <f t="shared" si="2"/>
        <v>313.60000000000002</v>
      </c>
      <c r="D22" s="520">
        <f t="shared" si="2"/>
        <v>235.2</v>
      </c>
      <c r="E22" s="520">
        <f t="shared" si="2"/>
        <v>294</v>
      </c>
      <c r="F22" s="520">
        <f t="shared" si="2"/>
        <v>294</v>
      </c>
      <c r="G22" s="520">
        <f t="shared" si="2"/>
        <v>313.60000000000002</v>
      </c>
      <c r="H22" s="520">
        <f t="shared" si="2"/>
        <v>313.60000000000002</v>
      </c>
      <c r="I22" s="520">
        <f t="shared" si="2"/>
        <v>313.60000000000002</v>
      </c>
      <c r="J22" s="520">
        <f t="shared" si="2"/>
        <v>235.2</v>
      </c>
      <c r="K22" s="520">
        <f t="shared" si="2"/>
        <v>294</v>
      </c>
      <c r="L22" s="520">
        <f t="shared" si="2"/>
        <v>294</v>
      </c>
      <c r="M22" s="521">
        <f t="shared" si="2"/>
        <v>294</v>
      </c>
      <c r="N22" s="520">
        <f t="shared" si="2"/>
        <v>156.80000000000001</v>
      </c>
    </row>
    <row r="23" spans="1:14" s="17" customFormat="1" x14ac:dyDescent="0.2">
      <c r="A23" s="515" t="s">
        <v>125</v>
      </c>
      <c r="B23" s="524">
        <f>$B$9</f>
        <v>14</v>
      </c>
      <c r="C23" s="524">
        <f t="shared" ref="C23:N23" si="3">$B$9</f>
        <v>14</v>
      </c>
      <c r="D23" s="524">
        <f t="shared" si="3"/>
        <v>14</v>
      </c>
      <c r="E23" s="524">
        <f t="shared" si="3"/>
        <v>14</v>
      </c>
      <c r="F23" s="524">
        <f t="shared" si="3"/>
        <v>14</v>
      </c>
      <c r="G23" s="524">
        <f t="shared" si="3"/>
        <v>14</v>
      </c>
      <c r="H23" s="524">
        <f t="shared" si="3"/>
        <v>14</v>
      </c>
      <c r="I23" s="524">
        <f t="shared" si="3"/>
        <v>14</v>
      </c>
      <c r="J23" s="524">
        <f t="shared" si="3"/>
        <v>14</v>
      </c>
      <c r="K23" s="524">
        <f t="shared" si="3"/>
        <v>14</v>
      </c>
      <c r="L23" s="524">
        <f t="shared" si="3"/>
        <v>14</v>
      </c>
      <c r="M23" s="525">
        <f t="shared" si="3"/>
        <v>14</v>
      </c>
      <c r="N23" s="524">
        <f t="shared" si="3"/>
        <v>14</v>
      </c>
    </row>
    <row r="24" spans="1:14" s="17" customFormat="1" x14ac:dyDescent="0.2">
      <c r="A24" s="515" t="s">
        <v>126</v>
      </c>
      <c r="B24" s="524">
        <f t="shared" ref="B24:N24" si="4">IF(ISBLANK(B102),0,$B$10)</f>
        <v>206.64</v>
      </c>
      <c r="C24" s="524">
        <f t="shared" si="4"/>
        <v>206.64</v>
      </c>
      <c r="D24" s="524">
        <f t="shared" si="4"/>
        <v>0</v>
      </c>
      <c r="E24" s="524">
        <f t="shared" si="4"/>
        <v>0</v>
      </c>
      <c r="F24" s="524">
        <f t="shared" si="4"/>
        <v>0</v>
      </c>
      <c r="G24" s="524">
        <f t="shared" si="4"/>
        <v>206.64</v>
      </c>
      <c r="H24" s="524">
        <f t="shared" si="4"/>
        <v>206.64</v>
      </c>
      <c r="I24" s="524">
        <f t="shared" si="4"/>
        <v>206.64</v>
      </c>
      <c r="J24" s="524">
        <f t="shared" si="4"/>
        <v>0</v>
      </c>
      <c r="K24" s="524">
        <f t="shared" si="4"/>
        <v>0</v>
      </c>
      <c r="L24" s="524">
        <f t="shared" si="4"/>
        <v>0</v>
      </c>
      <c r="M24" s="525">
        <f t="shared" si="4"/>
        <v>0</v>
      </c>
      <c r="N24" s="524">
        <f t="shared" si="4"/>
        <v>0</v>
      </c>
    </row>
    <row r="25" spans="1:14" s="17" customFormat="1" x14ac:dyDescent="0.2">
      <c r="A25" s="515" t="s">
        <v>127</v>
      </c>
      <c r="B25" s="520">
        <f>B21*$B$5+SUM(B23:B24)</f>
        <v>534.24</v>
      </c>
      <c r="C25" s="520">
        <f t="shared" ref="C25:M25" si="5">C21*$B$5+SUM(C23:C24)</f>
        <v>534.24</v>
      </c>
      <c r="D25" s="520">
        <f t="shared" si="5"/>
        <v>249.2</v>
      </c>
      <c r="E25" s="520">
        <f t="shared" si="5"/>
        <v>308</v>
      </c>
      <c r="F25" s="520">
        <f t="shared" si="5"/>
        <v>308</v>
      </c>
      <c r="G25" s="520">
        <f t="shared" si="5"/>
        <v>534.24</v>
      </c>
      <c r="H25" s="520">
        <f t="shared" si="5"/>
        <v>534.24</v>
      </c>
      <c r="I25" s="520">
        <f t="shared" si="5"/>
        <v>534.24</v>
      </c>
      <c r="J25" s="520">
        <f t="shared" si="5"/>
        <v>249.2</v>
      </c>
      <c r="K25" s="520">
        <f t="shared" si="5"/>
        <v>308</v>
      </c>
      <c r="L25" s="520">
        <f t="shared" si="5"/>
        <v>308</v>
      </c>
      <c r="M25" s="521">
        <f t="shared" si="5"/>
        <v>308</v>
      </c>
      <c r="N25" s="520">
        <f t="shared" ref="N25" si="6">N21*$B$5+SUM(N23:N24)</f>
        <v>170.8</v>
      </c>
    </row>
    <row r="26" spans="1:14" s="17" customFormat="1" x14ac:dyDescent="0.2">
      <c r="A26" s="18" t="s">
        <v>128</v>
      </c>
      <c r="B26" s="19">
        <f t="shared" ref="B26:N26" si="7">-IF(ISBLANK(B101),0,MIN(B$22*$H$10,B$22-$B$7*$H$9))</f>
        <v>0</v>
      </c>
      <c r="C26" s="19">
        <f t="shared" si="7"/>
        <v>0</v>
      </c>
      <c r="D26" s="19">
        <f t="shared" si="7"/>
        <v>-67.502399999999994</v>
      </c>
      <c r="E26" s="19">
        <f t="shared" si="7"/>
        <v>-84.378</v>
      </c>
      <c r="F26" s="19">
        <f t="shared" si="7"/>
        <v>-84.378</v>
      </c>
      <c r="G26" s="19">
        <f t="shared" si="7"/>
        <v>0</v>
      </c>
      <c r="H26" s="19">
        <f t="shared" si="7"/>
        <v>0</v>
      </c>
      <c r="I26" s="19">
        <f t="shared" si="7"/>
        <v>0</v>
      </c>
      <c r="J26" s="19">
        <f t="shared" si="7"/>
        <v>-67.502399999999994</v>
      </c>
      <c r="K26" s="19">
        <f t="shared" si="7"/>
        <v>-84.378</v>
      </c>
      <c r="L26" s="19">
        <f t="shared" si="7"/>
        <v>-84.378</v>
      </c>
      <c r="M26" s="84">
        <f t="shared" si="7"/>
        <v>-84.378</v>
      </c>
      <c r="N26" s="19">
        <f t="shared" si="7"/>
        <v>0</v>
      </c>
    </row>
    <row r="27" spans="1:14" s="17" customFormat="1" x14ac:dyDescent="0.2">
      <c r="A27" s="515" t="s">
        <v>129</v>
      </c>
      <c r="B27" s="19">
        <f t="shared" ref="B27:N27" si="8">SUM(B25:B26)</f>
        <v>534.24</v>
      </c>
      <c r="C27" s="19">
        <f t="shared" si="8"/>
        <v>534.24</v>
      </c>
      <c r="D27" s="19">
        <f t="shared" si="8"/>
        <v>181.69759999999999</v>
      </c>
      <c r="E27" s="19">
        <f t="shared" si="8"/>
        <v>223.62200000000001</v>
      </c>
      <c r="F27" s="19">
        <f t="shared" si="8"/>
        <v>223.62200000000001</v>
      </c>
      <c r="G27" s="19">
        <f t="shared" si="8"/>
        <v>534.24</v>
      </c>
      <c r="H27" s="19">
        <f t="shared" si="8"/>
        <v>534.24</v>
      </c>
      <c r="I27" s="19">
        <f t="shared" si="8"/>
        <v>534.24</v>
      </c>
      <c r="J27" s="19">
        <f t="shared" si="8"/>
        <v>181.69759999999999</v>
      </c>
      <c r="K27" s="19">
        <f t="shared" si="8"/>
        <v>223.62200000000001</v>
      </c>
      <c r="L27" s="19">
        <f t="shared" si="8"/>
        <v>223.62200000000001</v>
      </c>
      <c r="M27" s="84">
        <f t="shared" si="8"/>
        <v>223.62200000000001</v>
      </c>
      <c r="N27" s="19">
        <f t="shared" si="8"/>
        <v>170.8</v>
      </c>
    </row>
    <row r="28" spans="1:14" s="17" customFormat="1" x14ac:dyDescent="0.2">
      <c r="A28" s="18" t="s">
        <v>130</v>
      </c>
      <c r="B28" s="19">
        <f>AVERAGE(L22:M22, B22)</f>
        <v>300.53333333333336</v>
      </c>
      <c r="C28" s="19">
        <f>AVERAGE(M22, B22:C22)</f>
        <v>307.06666666666666</v>
      </c>
      <c r="D28" s="19">
        <f t="shared" ref="D28:M28" si="9">AVERAGE(B22:D22)</f>
        <v>287.4666666666667</v>
      </c>
      <c r="E28" s="19">
        <f t="shared" si="9"/>
        <v>280.93333333333334</v>
      </c>
      <c r="F28" s="19">
        <f t="shared" si="9"/>
        <v>274.40000000000003</v>
      </c>
      <c r="G28" s="19">
        <f t="shared" si="9"/>
        <v>300.53333333333336</v>
      </c>
      <c r="H28" s="19">
        <f t="shared" si="9"/>
        <v>307.06666666666666</v>
      </c>
      <c r="I28" s="19">
        <f t="shared" si="9"/>
        <v>313.60000000000002</v>
      </c>
      <c r="J28" s="19">
        <f t="shared" si="9"/>
        <v>287.4666666666667</v>
      </c>
      <c r="K28" s="19">
        <f t="shared" si="9"/>
        <v>280.93333333333334</v>
      </c>
      <c r="L28" s="19">
        <f t="shared" si="9"/>
        <v>274.40000000000003</v>
      </c>
      <c r="M28" s="84">
        <f t="shared" si="9"/>
        <v>294</v>
      </c>
      <c r="N28" s="19">
        <f>N27</f>
        <v>170.8</v>
      </c>
    </row>
    <row r="29" spans="1:14" s="17" customFormat="1" x14ac:dyDescent="0.2">
      <c r="A29" s="245" t="s">
        <v>132</v>
      </c>
      <c r="B29" s="84"/>
      <c r="C29" s="241"/>
      <c r="D29" s="241"/>
      <c r="E29" s="241"/>
      <c r="F29" s="241"/>
      <c r="G29" s="241"/>
      <c r="H29" s="241"/>
      <c r="I29" s="241"/>
      <c r="J29" s="241"/>
      <c r="K29" s="241"/>
      <c r="L29" s="241"/>
      <c r="M29" s="241"/>
      <c r="N29" s="19"/>
    </row>
    <row r="30" spans="1:14" s="17" customFormat="1" x14ac:dyDescent="0.2">
      <c r="A30" s="18" t="s">
        <v>133</v>
      </c>
      <c r="B30" s="614">
        <f t="shared" ref="B30:N30" si="10">IF(ISBLANK(B101),0,$B$11)</f>
        <v>0</v>
      </c>
      <c r="C30" s="614">
        <f t="shared" si="10"/>
        <v>0</v>
      </c>
      <c r="D30" s="614">
        <f t="shared" si="10"/>
        <v>50.4</v>
      </c>
      <c r="E30" s="614">
        <f t="shared" si="10"/>
        <v>50.4</v>
      </c>
      <c r="F30" s="614">
        <f t="shared" si="10"/>
        <v>50.4</v>
      </c>
      <c r="G30" s="614">
        <f t="shared" si="10"/>
        <v>0</v>
      </c>
      <c r="H30" s="614">
        <f t="shared" si="10"/>
        <v>0</v>
      </c>
      <c r="I30" s="614">
        <f t="shared" si="10"/>
        <v>0</v>
      </c>
      <c r="J30" s="614">
        <f t="shared" si="10"/>
        <v>50.4</v>
      </c>
      <c r="K30" s="614">
        <f t="shared" si="10"/>
        <v>50.4</v>
      </c>
      <c r="L30" s="614">
        <f t="shared" si="10"/>
        <v>50.4</v>
      </c>
      <c r="M30" s="615">
        <f t="shared" si="10"/>
        <v>50.4</v>
      </c>
      <c r="N30" s="614">
        <f t="shared" si="10"/>
        <v>50.4</v>
      </c>
    </row>
    <row r="31" spans="1:14" s="17" customFormat="1" ht="12.75" x14ac:dyDescent="0.2">
      <c r="A31" s="528" t="s">
        <v>134</v>
      </c>
      <c r="B31" s="529"/>
      <c r="C31" s="530"/>
      <c r="D31" s="530"/>
      <c r="E31" s="530"/>
      <c r="F31" s="530"/>
      <c r="G31" s="530"/>
      <c r="H31" s="530"/>
      <c r="I31" s="530"/>
      <c r="J31" s="530"/>
      <c r="K31" s="530"/>
      <c r="L31" s="530"/>
      <c r="M31" s="530"/>
      <c r="N31" s="515"/>
    </row>
    <row r="32" spans="1:14" s="17" customFormat="1" x14ac:dyDescent="0.2">
      <c r="A32" s="488" t="s">
        <v>135</v>
      </c>
      <c r="B32" s="508">
        <v>1</v>
      </c>
      <c r="C32" s="508">
        <v>1</v>
      </c>
      <c r="D32" s="508">
        <v>1</v>
      </c>
      <c r="E32" s="508">
        <v>1</v>
      </c>
      <c r="F32" s="508">
        <v>1</v>
      </c>
      <c r="G32" s="508">
        <v>1</v>
      </c>
      <c r="H32" s="508">
        <v>1</v>
      </c>
      <c r="I32" s="508">
        <v>1</v>
      </c>
      <c r="J32" s="508">
        <v>1</v>
      </c>
      <c r="K32" s="508">
        <v>1</v>
      </c>
      <c r="L32" s="508">
        <v>1</v>
      </c>
      <c r="M32" s="508">
        <v>1</v>
      </c>
      <c r="N32" s="508">
        <v>1</v>
      </c>
    </row>
    <row r="33" spans="1:14" s="17" customFormat="1" x14ac:dyDescent="0.2">
      <c r="A33" s="488" t="s">
        <v>136</v>
      </c>
      <c r="B33" s="508">
        <f>B32*0.8</f>
        <v>0.8</v>
      </c>
      <c r="C33" s="508">
        <f t="shared" ref="C33:N33" si="11">C32*0.8</f>
        <v>0.8</v>
      </c>
      <c r="D33" s="508">
        <f t="shared" si="11"/>
        <v>0.8</v>
      </c>
      <c r="E33" s="508">
        <f t="shared" si="11"/>
        <v>0.8</v>
      </c>
      <c r="F33" s="508">
        <f t="shared" si="11"/>
        <v>0.8</v>
      </c>
      <c r="G33" s="508">
        <f t="shared" si="11"/>
        <v>0.8</v>
      </c>
      <c r="H33" s="508">
        <f t="shared" si="11"/>
        <v>0.8</v>
      </c>
      <c r="I33" s="508">
        <f t="shared" si="11"/>
        <v>0.8</v>
      </c>
      <c r="J33" s="508">
        <f t="shared" si="11"/>
        <v>0.8</v>
      </c>
      <c r="K33" s="508">
        <f t="shared" si="11"/>
        <v>0.8</v>
      </c>
      <c r="L33" s="508">
        <f t="shared" si="11"/>
        <v>0.8</v>
      </c>
      <c r="M33" s="509">
        <f t="shared" si="11"/>
        <v>0.8</v>
      </c>
      <c r="N33" s="508">
        <f t="shared" si="11"/>
        <v>0.8</v>
      </c>
    </row>
    <row r="34" spans="1:14" s="17" customFormat="1" x14ac:dyDescent="0.2">
      <c r="A34" s="488" t="s">
        <v>137</v>
      </c>
      <c r="B34" s="508">
        <f>((B36*$B$125)/$B$2)</f>
        <v>0.67715771534055891</v>
      </c>
      <c r="C34" s="508">
        <f t="shared" ref="C34:N34" si="12">((C36*$B$125)/$B$2)</f>
        <v>0.67715771534055891</v>
      </c>
      <c r="D34" s="508">
        <f t="shared" si="12"/>
        <v>0.67715771534055891</v>
      </c>
      <c r="E34" s="508">
        <f t="shared" si="12"/>
        <v>0.67715771534055891</v>
      </c>
      <c r="F34" s="508">
        <f t="shared" si="12"/>
        <v>0.67715771534055891</v>
      </c>
      <c r="G34" s="508">
        <f t="shared" si="12"/>
        <v>0.67715771534055891</v>
      </c>
      <c r="H34" s="508">
        <f t="shared" si="12"/>
        <v>0.67715771534055891</v>
      </c>
      <c r="I34" s="508">
        <f t="shared" si="12"/>
        <v>0.67715771534055891</v>
      </c>
      <c r="J34" s="508">
        <f t="shared" si="12"/>
        <v>0.67715771534055891</v>
      </c>
      <c r="K34" s="508">
        <f t="shared" si="12"/>
        <v>0.67715771534055891</v>
      </c>
      <c r="L34" s="508">
        <f t="shared" si="12"/>
        <v>0.67715771534055891</v>
      </c>
      <c r="M34" s="508">
        <f t="shared" si="12"/>
        <v>0.67715771534055891</v>
      </c>
      <c r="N34" s="508">
        <f t="shared" si="12"/>
        <v>0.67715771534055891</v>
      </c>
    </row>
    <row r="35" spans="1:14" s="17" customFormat="1" x14ac:dyDescent="0.2">
      <c r="A35" s="616" t="s">
        <v>138</v>
      </c>
      <c r="B35" s="617">
        <f t="shared" ref="B35:N35" si="13">ROUND($B$2*B32,2)</f>
        <v>7</v>
      </c>
      <c r="C35" s="617">
        <f t="shared" si="13"/>
        <v>7</v>
      </c>
      <c r="D35" s="617">
        <f t="shared" si="13"/>
        <v>7</v>
      </c>
      <c r="E35" s="617">
        <f t="shared" si="13"/>
        <v>7</v>
      </c>
      <c r="F35" s="617">
        <f t="shared" si="13"/>
        <v>7</v>
      </c>
      <c r="G35" s="617">
        <f t="shared" si="13"/>
        <v>7</v>
      </c>
      <c r="H35" s="617">
        <f t="shared" si="13"/>
        <v>7</v>
      </c>
      <c r="I35" s="617">
        <f t="shared" si="13"/>
        <v>7</v>
      </c>
      <c r="J35" s="617">
        <f t="shared" si="13"/>
        <v>7</v>
      </c>
      <c r="K35" s="617">
        <f t="shared" si="13"/>
        <v>7</v>
      </c>
      <c r="L35" s="617">
        <f t="shared" si="13"/>
        <v>7</v>
      </c>
      <c r="M35" s="618">
        <f t="shared" si="13"/>
        <v>7</v>
      </c>
      <c r="N35" s="617">
        <f t="shared" si="13"/>
        <v>7</v>
      </c>
    </row>
    <row r="36" spans="1:14" x14ac:dyDescent="0.2">
      <c r="A36" s="616" t="s">
        <v>139</v>
      </c>
      <c r="B36" s="619">
        <f t="shared" ref="B36:N36" si="14">ROUND($B$2*B33,2)</f>
        <v>5.6</v>
      </c>
      <c r="C36" s="619">
        <f t="shared" si="14"/>
        <v>5.6</v>
      </c>
      <c r="D36" s="619">
        <f t="shared" si="14"/>
        <v>5.6</v>
      </c>
      <c r="E36" s="619">
        <f t="shared" si="14"/>
        <v>5.6</v>
      </c>
      <c r="F36" s="619">
        <f t="shared" si="14"/>
        <v>5.6</v>
      </c>
      <c r="G36" s="617">
        <f t="shared" si="14"/>
        <v>5.6</v>
      </c>
      <c r="H36" s="617">
        <f t="shared" si="14"/>
        <v>5.6</v>
      </c>
      <c r="I36" s="619">
        <f t="shared" si="14"/>
        <v>5.6</v>
      </c>
      <c r="J36" s="617">
        <f t="shared" si="14"/>
        <v>5.6</v>
      </c>
      <c r="K36" s="617">
        <f t="shared" si="14"/>
        <v>5.6</v>
      </c>
      <c r="L36" s="617">
        <f t="shared" si="14"/>
        <v>5.6</v>
      </c>
      <c r="M36" s="620">
        <f t="shared" si="14"/>
        <v>5.6</v>
      </c>
      <c r="N36" s="617">
        <f t="shared" si="14"/>
        <v>5.6</v>
      </c>
    </row>
    <row r="37" spans="1:14" x14ac:dyDescent="0.2">
      <c r="A37" s="540" t="s">
        <v>140</v>
      </c>
      <c r="B37" s="537">
        <f>B34*$B$2</f>
        <v>4.7401040073839127</v>
      </c>
      <c r="C37" s="537">
        <f t="shared" ref="C37:N37" si="15">C34*$B$2</f>
        <v>4.7401040073839127</v>
      </c>
      <c r="D37" s="537">
        <f t="shared" si="15"/>
        <v>4.7401040073839127</v>
      </c>
      <c r="E37" s="537">
        <f t="shared" si="15"/>
        <v>4.7401040073839127</v>
      </c>
      <c r="F37" s="537">
        <f t="shared" si="15"/>
        <v>4.7401040073839127</v>
      </c>
      <c r="G37" s="537">
        <f t="shared" si="15"/>
        <v>4.7401040073839127</v>
      </c>
      <c r="H37" s="537">
        <f t="shared" si="15"/>
        <v>4.7401040073839127</v>
      </c>
      <c r="I37" s="537">
        <f t="shared" si="15"/>
        <v>4.7401040073839127</v>
      </c>
      <c r="J37" s="537">
        <f t="shared" si="15"/>
        <v>4.7401040073839127</v>
      </c>
      <c r="K37" s="537">
        <f t="shared" si="15"/>
        <v>4.7401040073839127</v>
      </c>
      <c r="L37" s="537">
        <f t="shared" si="15"/>
        <v>4.7401040073839127</v>
      </c>
      <c r="M37" s="537">
        <f t="shared" si="15"/>
        <v>4.7401040073839127</v>
      </c>
      <c r="N37" s="537">
        <f t="shared" si="15"/>
        <v>4.7401040073839127</v>
      </c>
    </row>
    <row r="38" spans="1:14" x14ac:dyDescent="0.2">
      <c r="A38" s="543" t="s">
        <v>141</v>
      </c>
      <c r="B38" s="544"/>
      <c r="C38" s="545"/>
      <c r="D38" s="545"/>
      <c r="E38" s="545"/>
      <c r="F38" s="545"/>
      <c r="G38" s="545"/>
      <c r="H38" s="545"/>
      <c r="I38" s="545"/>
      <c r="J38" s="545"/>
      <c r="K38" s="545"/>
      <c r="L38" s="545"/>
      <c r="M38" s="545"/>
      <c r="N38" s="621"/>
    </row>
    <row r="39" spans="1:14" x14ac:dyDescent="0.2">
      <c r="A39" s="546" t="s">
        <v>142</v>
      </c>
      <c r="B39" s="547">
        <f t="shared" ref="B39:N39" si="16">IF($B126&gt;=0.9, B$36,B$36*$B126)</f>
        <v>3.8102322503690109</v>
      </c>
      <c r="C39" s="547">
        <f t="shared" si="16"/>
        <v>3.8102322503690109</v>
      </c>
      <c r="D39" s="547">
        <f t="shared" si="16"/>
        <v>3.8102322503690109</v>
      </c>
      <c r="E39" s="547">
        <f t="shared" si="16"/>
        <v>3.8102322503690109</v>
      </c>
      <c r="F39" s="547">
        <f t="shared" si="16"/>
        <v>3.8102322503690109</v>
      </c>
      <c r="G39" s="547">
        <f t="shared" si="16"/>
        <v>3.8102322503690109</v>
      </c>
      <c r="H39" s="547">
        <f t="shared" si="16"/>
        <v>3.8102322503690109</v>
      </c>
      <c r="I39" s="547">
        <f t="shared" si="16"/>
        <v>3.8102322503690109</v>
      </c>
      <c r="J39" s="547">
        <f t="shared" si="16"/>
        <v>3.8102322503690109</v>
      </c>
      <c r="K39" s="547">
        <f t="shared" si="16"/>
        <v>3.8102322503690109</v>
      </c>
      <c r="L39" s="547">
        <f t="shared" si="16"/>
        <v>3.8102322503690109</v>
      </c>
      <c r="M39" s="547">
        <f t="shared" si="16"/>
        <v>3.8102322503690109</v>
      </c>
      <c r="N39" s="547">
        <f t="shared" si="16"/>
        <v>3.8102322503690109</v>
      </c>
    </row>
    <row r="40" spans="1:14" x14ac:dyDescent="0.2">
      <c r="A40" s="546" t="s">
        <v>143</v>
      </c>
      <c r="B40" s="547">
        <f t="shared" ref="B40:N40" si="17">IF($B127&gt;=0.9, B$36,B$36*$B127)</f>
        <v>2.9009669460978214</v>
      </c>
      <c r="C40" s="547">
        <f t="shared" si="17"/>
        <v>2.9009669460978214</v>
      </c>
      <c r="D40" s="547">
        <f t="shared" si="17"/>
        <v>2.9009669460978214</v>
      </c>
      <c r="E40" s="547">
        <f t="shared" si="17"/>
        <v>2.9009669460978214</v>
      </c>
      <c r="F40" s="547">
        <f t="shared" si="17"/>
        <v>2.9009669460978214</v>
      </c>
      <c r="G40" s="547">
        <f t="shared" si="17"/>
        <v>2.9009669460978214</v>
      </c>
      <c r="H40" s="547">
        <f t="shared" si="17"/>
        <v>2.9009669460978214</v>
      </c>
      <c r="I40" s="547">
        <f t="shared" si="17"/>
        <v>2.9009669460978214</v>
      </c>
      <c r="J40" s="547">
        <f t="shared" si="17"/>
        <v>2.9009669460978214</v>
      </c>
      <c r="K40" s="547">
        <f t="shared" si="17"/>
        <v>2.9009669460978214</v>
      </c>
      <c r="L40" s="547">
        <f t="shared" si="17"/>
        <v>2.9009669460978214</v>
      </c>
      <c r="M40" s="547">
        <f t="shared" si="17"/>
        <v>2.9009669460978214</v>
      </c>
      <c r="N40" s="547">
        <f t="shared" si="17"/>
        <v>2.9009669460978214</v>
      </c>
    </row>
    <row r="41" spans="1:14" x14ac:dyDescent="0.2">
      <c r="A41" s="550" t="s">
        <v>144</v>
      </c>
      <c r="B41" s="547">
        <f t="shared" ref="B41:N41" si="18">IF($B128&gt;=0.9, B$36,B$36*$B128)</f>
        <v>2.9626419182867587</v>
      </c>
      <c r="C41" s="547">
        <f t="shared" si="18"/>
        <v>2.9626419182867587</v>
      </c>
      <c r="D41" s="547">
        <f t="shared" si="18"/>
        <v>2.9626419182867587</v>
      </c>
      <c r="E41" s="547">
        <f t="shared" si="18"/>
        <v>2.9626419182867587</v>
      </c>
      <c r="F41" s="547">
        <f t="shared" si="18"/>
        <v>2.9626419182867587</v>
      </c>
      <c r="G41" s="547">
        <f t="shared" si="18"/>
        <v>2.9626419182867587</v>
      </c>
      <c r="H41" s="547">
        <f t="shared" si="18"/>
        <v>2.9626419182867587</v>
      </c>
      <c r="I41" s="547">
        <f t="shared" si="18"/>
        <v>2.9626419182867587</v>
      </c>
      <c r="J41" s="547">
        <f t="shared" si="18"/>
        <v>2.9626419182867587</v>
      </c>
      <c r="K41" s="547">
        <f t="shared" si="18"/>
        <v>2.9626419182867587</v>
      </c>
      <c r="L41" s="547">
        <f t="shared" si="18"/>
        <v>2.9626419182867587</v>
      </c>
      <c r="M41" s="547">
        <f t="shared" si="18"/>
        <v>2.9626419182867587</v>
      </c>
      <c r="N41" s="547">
        <f t="shared" si="18"/>
        <v>2.9626419182867587</v>
      </c>
    </row>
    <row r="42" spans="1:14" x14ac:dyDescent="0.2">
      <c r="A42" s="550" t="s">
        <v>145</v>
      </c>
      <c r="B42" s="547">
        <f t="shared" ref="B42:N42" si="19">IF($B129&gt;=0.9, B$36,B$36*$B129)</f>
        <v>2.0005123521393386</v>
      </c>
      <c r="C42" s="547">
        <f t="shared" si="19"/>
        <v>2.0005123521393386</v>
      </c>
      <c r="D42" s="547">
        <f t="shared" si="19"/>
        <v>2.0005123521393386</v>
      </c>
      <c r="E42" s="547">
        <f t="shared" si="19"/>
        <v>2.0005123521393386</v>
      </c>
      <c r="F42" s="547">
        <f t="shared" si="19"/>
        <v>2.0005123521393386</v>
      </c>
      <c r="G42" s="547">
        <f t="shared" si="19"/>
        <v>2.0005123521393386</v>
      </c>
      <c r="H42" s="547">
        <f t="shared" si="19"/>
        <v>2.0005123521393386</v>
      </c>
      <c r="I42" s="547">
        <f t="shared" si="19"/>
        <v>2.0005123521393386</v>
      </c>
      <c r="J42" s="547">
        <f t="shared" si="19"/>
        <v>2.0005123521393386</v>
      </c>
      <c r="K42" s="547">
        <f t="shared" si="19"/>
        <v>2.0005123521393386</v>
      </c>
      <c r="L42" s="547">
        <f t="shared" si="19"/>
        <v>2.0005123521393386</v>
      </c>
      <c r="M42" s="547">
        <f t="shared" si="19"/>
        <v>2.0005123521393386</v>
      </c>
      <c r="N42" s="547">
        <f t="shared" si="19"/>
        <v>2.0005123521393386</v>
      </c>
    </row>
    <row r="43" spans="1:14" x14ac:dyDescent="0.2">
      <c r="A43" s="551" t="s">
        <v>146</v>
      </c>
      <c r="B43" s="547">
        <f t="shared" ref="B43:N43" si="20">IF($B130&gt;=0.9, B$36,B$36*$B130)</f>
        <v>2.567104786965658</v>
      </c>
      <c r="C43" s="547">
        <f t="shared" si="20"/>
        <v>2.567104786965658</v>
      </c>
      <c r="D43" s="547">
        <f t="shared" si="20"/>
        <v>2.567104786965658</v>
      </c>
      <c r="E43" s="547">
        <f t="shared" si="20"/>
        <v>2.567104786965658</v>
      </c>
      <c r="F43" s="547">
        <f t="shared" si="20"/>
        <v>2.567104786965658</v>
      </c>
      <c r="G43" s="547">
        <f t="shared" si="20"/>
        <v>2.567104786965658</v>
      </c>
      <c r="H43" s="547">
        <f t="shared" si="20"/>
        <v>2.567104786965658</v>
      </c>
      <c r="I43" s="547">
        <f t="shared" si="20"/>
        <v>2.567104786965658</v>
      </c>
      <c r="J43" s="547">
        <f t="shared" si="20"/>
        <v>2.567104786965658</v>
      </c>
      <c r="K43" s="547">
        <f t="shared" si="20"/>
        <v>2.567104786965658</v>
      </c>
      <c r="L43" s="547">
        <f t="shared" si="20"/>
        <v>2.567104786965658</v>
      </c>
      <c r="M43" s="547">
        <f t="shared" si="20"/>
        <v>2.567104786965658</v>
      </c>
      <c r="N43" s="547">
        <f t="shared" si="20"/>
        <v>2.567104786965658</v>
      </c>
    </row>
    <row r="44" spans="1:14" x14ac:dyDescent="0.2">
      <c r="A44" s="550" t="s">
        <v>147</v>
      </c>
      <c r="B44" s="547">
        <f t="shared" ref="B44:N44" si="21">IF($B131&gt;=0.9, B$36,B$36*$B131)</f>
        <v>1.42645399962699</v>
      </c>
      <c r="C44" s="547">
        <f t="shared" si="21"/>
        <v>1.42645399962699</v>
      </c>
      <c r="D44" s="547">
        <f t="shared" si="21"/>
        <v>1.42645399962699</v>
      </c>
      <c r="E44" s="547">
        <f t="shared" si="21"/>
        <v>1.42645399962699</v>
      </c>
      <c r="F44" s="547">
        <f t="shared" si="21"/>
        <v>1.42645399962699</v>
      </c>
      <c r="G44" s="547">
        <f t="shared" si="21"/>
        <v>1.42645399962699</v>
      </c>
      <c r="H44" s="547">
        <f t="shared" si="21"/>
        <v>1.42645399962699</v>
      </c>
      <c r="I44" s="547">
        <f t="shared" si="21"/>
        <v>1.42645399962699</v>
      </c>
      <c r="J44" s="547">
        <f t="shared" si="21"/>
        <v>1.42645399962699</v>
      </c>
      <c r="K44" s="547">
        <f t="shared" si="21"/>
        <v>1.42645399962699</v>
      </c>
      <c r="L44" s="547">
        <f t="shared" si="21"/>
        <v>1.42645399962699</v>
      </c>
      <c r="M44" s="547">
        <f t="shared" si="21"/>
        <v>1.42645399962699</v>
      </c>
      <c r="N44" s="547">
        <f t="shared" si="21"/>
        <v>1.42645399962699</v>
      </c>
    </row>
    <row r="45" spans="1:14" x14ac:dyDescent="0.2">
      <c r="A45" s="550" t="s">
        <v>148</v>
      </c>
      <c r="B45" s="547">
        <f t="shared" ref="B45:N45" si="22">IF($B132&gt;=0.9, B$36,B$36*$B132)</f>
        <v>4.8100797717827293</v>
      </c>
      <c r="C45" s="547">
        <f t="shared" si="22"/>
        <v>4.8100797717827293</v>
      </c>
      <c r="D45" s="547">
        <f t="shared" si="22"/>
        <v>4.8100797717827293</v>
      </c>
      <c r="E45" s="547">
        <f t="shared" si="22"/>
        <v>4.8100797717827293</v>
      </c>
      <c r="F45" s="547">
        <f t="shared" si="22"/>
        <v>4.8100797717827293</v>
      </c>
      <c r="G45" s="547">
        <f t="shared" si="22"/>
        <v>4.8100797717827293</v>
      </c>
      <c r="H45" s="547">
        <f t="shared" si="22"/>
        <v>4.8100797717827293</v>
      </c>
      <c r="I45" s="547">
        <f t="shared" si="22"/>
        <v>4.8100797717827293</v>
      </c>
      <c r="J45" s="547">
        <f t="shared" si="22"/>
        <v>4.8100797717827293</v>
      </c>
      <c r="K45" s="547">
        <f t="shared" si="22"/>
        <v>4.8100797717827293</v>
      </c>
      <c r="L45" s="547">
        <f t="shared" si="22"/>
        <v>4.8100797717827293</v>
      </c>
      <c r="M45" s="547">
        <f t="shared" si="22"/>
        <v>4.8100797717827293</v>
      </c>
      <c r="N45" s="547">
        <f t="shared" si="22"/>
        <v>4.8100797717827293</v>
      </c>
    </row>
    <row r="46" spans="1:14" x14ac:dyDescent="0.2">
      <c r="A46" s="550" t="s">
        <v>149</v>
      </c>
      <c r="B46" s="547">
        <f t="shared" ref="B46:N46" si="23">IF($B133&gt;=0.9, B$36,B$36*$B133)</f>
        <v>1.8419190395542848</v>
      </c>
      <c r="C46" s="547">
        <f t="shared" si="23"/>
        <v>1.8419190395542848</v>
      </c>
      <c r="D46" s="547">
        <f t="shared" si="23"/>
        <v>1.8419190395542848</v>
      </c>
      <c r="E46" s="547">
        <f t="shared" si="23"/>
        <v>1.8419190395542848</v>
      </c>
      <c r="F46" s="547">
        <f t="shared" si="23"/>
        <v>1.8419190395542848</v>
      </c>
      <c r="G46" s="547">
        <f t="shared" si="23"/>
        <v>1.8419190395542848</v>
      </c>
      <c r="H46" s="547">
        <f t="shared" si="23"/>
        <v>1.8419190395542848</v>
      </c>
      <c r="I46" s="547">
        <f t="shared" si="23"/>
        <v>1.8419190395542848</v>
      </c>
      <c r="J46" s="547">
        <f t="shared" si="23"/>
        <v>1.8419190395542848</v>
      </c>
      <c r="K46" s="547">
        <f t="shared" si="23"/>
        <v>1.8419190395542848</v>
      </c>
      <c r="L46" s="547">
        <f t="shared" si="23"/>
        <v>1.8419190395542848</v>
      </c>
      <c r="M46" s="547">
        <f t="shared" si="23"/>
        <v>1.8419190395542848</v>
      </c>
      <c r="N46" s="547">
        <f t="shared" si="23"/>
        <v>1.8419190395542848</v>
      </c>
    </row>
    <row r="47" spans="1:14" s="17" customFormat="1" x14ac:dyDescent="0.2">
      <c r="A47" s="550" t="s">
        <v>150</v>
      </c>
      <c r="B47" s="547">
        <f>IF(B$13="Deploy",B$36,IF($B134&gt;=0.9, B$36,B$36*$B129))</f>
        <v>5.6</v>
      </c>
      <c r="C47" s="547">
        <f t="shared" ref="C47:N47" si="24">IF(C$13="Deploy",C$36,IF($B134&gt;=0.9, C$36,C$36*$B129))</f>
        <v>5.6</v>
      </c>
      <c r="D47" s="547">
        <f t="shared" si="24"/>
        <v>2.0005123521393386</v>
      </c>
      <c r="E47" s="547">
        <f t="shared" si="24"/>
        <v>2.0005123521393386</v>
      </c>
      <c r="F47" s="547">
        <f t="shared" si="24"/>
        <v>2.0005123521393386</v>
      </c>
      <c r="G47" s="547">
        <f t="shared" si="24"/>
        <v>5.6</v>
      </c>
      <c r="H47" s="547">
        <f t="shared" si="24"/>
        <v>5.6</v>
      </c>
      <c r="I47" s="547">
        <f t="shared" si="24"/>
        <v>5.6</v>
      </c>
      <c r="J47" s="547">
        <f t="shared" si="24"/>
        <v>2.0005123521393386</v>
      </c>
      <c r="K47" s="547">
        <f t="shared" si="24"/>
        <v>2.0005123521393386</v>
      </c>
      <c r="L47" s="547">
        <f t="shared" si="24"/>
        <v>2.0005123521393386</v>
      </c>
      <c r="M47" s="547">
        <f t="shared" si="24"/>
        <v>2.0005123521393386</v>
      </c>
      <c r="N47" s="547">
        <f t="shared" si="24"/>
        <v>2.0005123521393386</v>
      </c>
    </row>
    <row r="48" spans="1:14" s="17" customFormat="1" ht="12.75" x14ac:dyDescent="0.2">
      <c r="A48" s="552" t="s">
        <v>151</v>
      </c>
      <c r="B48" s="547">
        <f t="shared" ref="B48:N48" si="25">IF($B135&gt;=0.9, B$36,B$36*$B135)</f>
        <v>5.6</v>
      </c>
      <c r="C48" s="547">
        <f t="shared" si="25"/>
        <v>5.6</v>
      </c>
      <c r="D48" s="547">
        <f t="shared" si="25"/>
        <v>5.6</v>
      </c>
      <c r="E48" s="547">
        <f t="shared" si="25"/>
        <v>5.6</v>
      </c>
      <c r="F48" s="547">
        <f t="shared" si="25"/>
        <v>5.6</v>
      </c>
      <c r="G48" s="547">
        <f t="shared" si="25"/>
        <v>5.6</v>
      </c>
      <c r="H48" s="547">
        <f t="shared" si="25"/>
        <v>5.6</v>
      </c>
      <c r="I48" s="547">
        <f t="shared" si="25"/>
        <v>5.6</v>
      </c>
      <c r="J48" s="547">
        <f t="shared" si="25"/>
        <v>5.6</v>
      </c>
      <c r="K48" s="547">
        <f t="shared" si="25"/>
        <v>5.6</v>
      </c>
      <c r="L48" s="547">
        <f t="shared" si="25"/>
        <v>5.6</v>
      </c>
      <c r="M48" s="547">
        <f t="shared" si="25"/>
        <v>5.6</v>
      </c>
      <c r="N48" s="547">
        <f t="shared" si="25"/>
        <v>5.6</v>
      </c>
    </row>
    <row r="49" spans="1:14" s="17" customFormat="1" ht="12.75" x14ac:dyDescent="0.2">
      <c r="A49" s="528" t="s">
        <v>152</v>
      </c>
      <c r="B49" s="618"/>
      <c r="C49" s="622"/>
      <c r="D49" s="622"/>
      <c r="E49" s="622"/>
      <c r="F49" s="622"/>
      <c r="G49" s="622"/>
      <c r="H49" s="622"/>
      <c r="I49" s="622"/>
      <c r="J49" s="622"/>
      <c r="K49" s="622"/>
      <c r="L49" s="622"/>
      <c r="M49" s="622"/>
      <c r="N49" s="623"/>
    </row>
    <row r="50" spans="1:14" s="17" customFormat="1" x14ac:dyDescent="0.2">
      <c r="A50" s="616" t="s">
        <v>153</v>
      </c>
      <c r="B50" s="624">
        <v>7</v>
      </c>
      <c r="C50" s="624">
        <v>7</v>
      </c>
      <c r="D50" s="617">
        <f t="shared" ref="D50:N50" si="26">ROUND(D51/0.75,2)</f>
        <v>4.4800000000000004</v>
      </c>
      <c r="E50" s="617">
        <f t="shared" si="26"/>
        <v>4.4800000000000004</v>
      </c>
      <c r="F50" s="617">
        <f t="shared" si="26"/>
        <v>4.4800000000000004</v>
      </c>
      <c r="G50" s="624">
        <v>7</v>
      </c>
      <c r="H50" s="624">
        <v>7</v>
      </c>
      <c r="I50" s="624">
        <v>7</v>
      </c>
      <c r="J50" s="617">
        <f t="shared" si="26"/>
        <v>4.4800000000000004</v>
      </c>
      <c r="K50" s="617">
        <f t="shared" si="26"/>
        <v>4.4800000000000004</v>
      </c>
      <c r="L50" s="617">
        <f t="shared" si="26"/>
        <v>4.4800000000000004</v>
      </c>
      <c r="M50" s="618">
        <f t="shared" si="26"/>
        <v>4.4800000000000004</v>
      </c>
      <c r="N50" s="123">
        <f t="shared" si="26"/>
        <v>1.49</v>
      </c>
    </row>
    <row r="51" spans="1:14" s="17" customFormat="1" x14ac:dyDescent="0.2">
      <c r="A51" s="616" t="s">
        <v>154</v>
      </c>
      <c r="B51" s="624">
        <f>B50*0.75</f>
        <v>5.25</v>
      </c>
      <c r="C51" s="624">
        <f>C50*0.75</f>
        <v>5.25</v>
      </c>
      <c r="D51" s="617">
        <f>ROUND(IF(D$36*VLOOKUP(D$13,$L$3:$O$7,4,FALSE)&lt;0.01,0.01,D$36*VLOOKUP(D$13,$L$3:$O$7,4,FALSE)),2)</f>
        <v>3.36</v>
      </c>
      <c r="E51" s="617">
        <f>ROUND(IF(E$36*VLOOKUP(E$13,$L$3:$O$7,4,FALSE)&lt;0.01,0.01,E$36*VLOOKUP(E$13,$L$3:$O$7,4,FALSE)),2)</f>
        <v>3.36</v>
      </c>
      <c r="F51" s="617">
        <f>ROUND(IF(F$36*VLOOKUP(F$13,$L$3:$O$7,4,FALSE)&lt;0.01,0.01,F$36*VLOOKUP(F$13,$L$3:$O$7,4,FALSE)),2)</f>
        <v>3.36</v>
      </c>
      <c r="G51" s="624">
        <f t="shared" ref="G51:I51" si="27">G50*0.75</f>
        <v>5.25</v>
      </c>
      <c r="H51" s="624">
        <f t="shared" si="27"/>
        <v>5.25</v>
      </c>
      <c r="I51" s="624">
        <f t="shared" si="27"/>
        <v>5.25</v>
      </c>
      <c r="J51" s="617">
        <f>ROUND(IF(J$36*VLOOKUP(J$13,$L$3:$O$7,4,FALSE)&lt;0.01,0.01,J$36*VLOOKUP(J$13,$L$3:$O$7,4,FALSE)),2)</f>
        <v>3.36</v>
      </c>
      <c r="K51" s="617">
        <f>ROUND(IF(K$36*VLOOKUP(K$13,$L$3:$O$7,4,FALSE)&lt;0.01,0.01,K$36*VLOOKUP(K$13,$L$3:$O$7,4,FALSE)),2)</f>
        <v>3.36</v>
      </c>
      <c r="L51" s="617">
        <f>ROUND(IF(L$36*VLOOKUP(L$13,$L$3:$O$7,4,FALSE)&lt;0.01,0.01,L$36*VLOOKUP(L$13,$L$3:$O$7,4,FALSE)),2)</f>
        <v>3.36</v>
      </c>
      <c r="M51" s="618">
        <f>ROUND(IF(M$36*VLOOKUP(M$13,$L$3:$O$7,4,FALSE)&lt;0.01,0.01,M$36*VLOOKUP(M$13,$L$3:$O$7,4,FALSE)),2)</f>
        <v>3.36</v>
      </c>
      <c r="N51" s="123">
        <f>ROUND(IF(N$36*$O$3&lt;0.01,0.01,N$36*$O$3),2)</f>
        <v>1.1200000000000001</v>
      </c>
    </row>
    <row r="52" spans="1:14" s="17" customFormat="1" ht="12.75" x14ac:dyDescent="0.2">
      <c r="A52" s="528" t="s">
        <v>155</v>
      </c>
      <c r="B52" s="557"/>
      <c r="C52" s="558"/>
      <c r="D52" s="558"/>
      <c r="E52" s="558"/>
      <c r="F52" s="558"/>
      <c r="G52" s="558"/>
      <c r="H52" s="558"/>
      <c r="I52" s="558"/>
      <c r="J52" s="558"/>
      <c r="K52" s="558"/>
      <c r="L52" s="558"/>
      <c r="M52" s="558"/>
      <c r="N52" s="515"/>
    </row>
    <row r="53" spans="1:14" x14ac:dyDescent="0.2">
      <c r="A53" s="507" t="str">
        <f t="shared" ref="A53:A63" si="28">A86</f>
        <v>Pilot Upper Limit</v>
      </c>
      <c r="B53" s="20">
        <f t="shared" ref="B53:N53" si="29">$B$86</f>
        <v>28</v>
      </c>
      <c r="C53" s="20">
        <f t="shared" si="29"/>
        <v>28</v>
      </c>
      <c r="D53" s="20">
        <f t="shared" si="29"/>
        <v>28</v>
      </c>
      <c r="E53" s="20">
        <f t="shared" si="29"/>
        <v>28</v>
      </c>
      <c r="F53" s="20">
        <f t="shared" si="29"/>
        <v>28</v>
      </c>
      <c r="G53" s="20">
        <f t="shared" si="29"/>
        <v>28</v>
      </c>
      <c r="H53" s="20">
        <f t="shared" si="29"/>
        <v>28</v>
      </c>
      <c r="I53" s="20">
        <f t="shared" si="29"/>
        <v>28</v>
      </c>
      <c r="J53" s="20">
        <f t="shared" si="29"/>
        <v>28</v>
      </c>
      <c r="K53" s="20">
        <f t="shared" si="29"/>
        <v>28</v>
      </c>
      <c r="L53" s="20">
        <f t="shared" si="29"/>
        <v>28</v>
      </c>
      <c r="M53" s="85">
        <f t="shared" si="29"/>
        <v>28</v>
      </c>
      <c r="N53" s="625">
        <f t="shared" si="29"/>
        <v>28</v>
      </c>
    </row>
    <row r="54" spans="1:14" x14ac:dyDescent="0.2">
      <c r="A54" s="562" t="str">
        <f t="shared" si="28"/>
        <v>Pilot Lower Limit</v>
      </c>
      <c r="B54" s="563">
        <f t="shared" ref="B54:N54" si="30">ROUNDUP(IF(B$13="Deploy",MAX((B$77/100)*$B87,$B87),(B$77/100)*$B87),0)</f>
        <v>28</v>
      </c>
      <c r="C54" s="563">
        <f t="shared" si="30"/>
        <v>28</v>
      </c>
      <c r="D54" s="563">
        <f t="shared" si="30"/>
        <v>25</v>
      </c>
      <c r="E54" s="563">
        <f t="shared" si="30"/>
        <v>24</v>
      </c>
      <c r="F54" s="563">
        <f t="shared" si="30"/>
        <v>24</v>
      </c>
      <c r="G54" s="563">
        <f t="shared" si="30"/>
        <v>28</v>
      </c>
      <c r="H54" s="563">
        <f t="shared" si="30"/>
        <v>28</v>
      </c>
      <c r="I54" s="563">
        <f t="shared" si="30"/>
        <v>28</v>
      </c>
      <c r="J54" s="563">
        <f t="shared" si="30"/>
        <v>25</v>
      </c>
      <c r="K54" s="563">
        <f t="shared" si="30"/>
        <v>24</v>
      </c>
      <c r="L54" s="563">
        <f t="shared" si="30"/>
        <v>24</v>
      </c>
      <c r="M54" s="564">
        <f t="shared" si="30"/>
        <v>23</v>
      </c>
      <c r="N54" s="563">
        <f t="shared" si="30"/>
        <v>9</v>
      </c>
    </row>
    <row r="55" spans="1:14" x14ac:dyDescent="0.2">
      <c r="A55" s="507" t="str">
        <f t="shared" si="28"/>
        <v>Aircrew Upper Limit</v>
      </c>
      <c r="B55" s="567">
        <f t="shared" ref="B55:N55" si="31">$B$88</f>
        <v>14</v>
      </c>
      <c r="C55" s="567">
        <f t="shared" si="31"/>
        <v>14</v>
      </c>
      <c r="D55" s="567">
        <f t="shared" si="31"/>
        <v>14</v>
      </c>
      <c r="E55" s="567">
        <f t="shared" si="31"/>
        <v>14</v>
      </c>
      <c r="F55" s="567">
        <f t="shared" si="31"/>
        <v>14</v>
      </c>
      <c r="G55" s="567">
        <f t="shared" si="31"/>
        <v>14</v>
      </c>
      <c r="H55" s="567">
        <f t="shared" si="31"/>
        <v>14</v>
      </c>
      <c r="I55" s="567">
        <f t="shared" si="31"/>
        <v>14</v>
      </c>
      <c r="J55" s="567">
        <f t="shared" si="31"/>
        <v>14</v>
      </c>
      <c r="K55" s="567">
        <f t="shared" si="31"/>
        <v>14</v>
      </c>
      <c r="L55" s="567">
        <f t="shared" si="31"/>
        <v>14</v>
      </c>
      <c r="M55" s="568">
        <f t="shared" si="31"/>
        <v>14</v>
      </c>
      <c r="N55" s="626">
        <f t="shared" si="31"/>
        <v>14</v>
      </c>
    </row>
    <row r="56" spans="1:14" x14ac:dyDescent="0.2">
      <c r="A56" s="562" t="str">
        <f t="shared" si="28"/>
        <v>Aircrew Lower Limit</v>
      </c>
      <c r="B56" s="563">
        <f t="shared" ref="B56:N56" si="32">ROUNDUP(IF(B$13="Deploy",MAX((B$77/100)*$B89,$B89),(B$77/100)*$B89),0)</f>
        <v>14</v>
      </c>
      <c r="C56" s="563">
        <f t="shared" si="32"/>
        <v>14</v>
      </c>
      <c r="D56" s="563">
        <f t="shared" si="32"/>
        <v>13</v>
      </c>
      <c r="E56" s="563">
        <f t="shared" si="32"/>
        <v>12</v>
      </c>
      <c r="F56" s="563">
        <f t="shared" si="32"/>
        <v>12</v>
      </c>
      <c r="G56" s="563">
        <f t="shared" si="32"/>
        <v>14</v>
      </c>
      <c r="H56" s="563">
        <f t="shared" si="32"/>
        <v>14</v>
      </c>
      <c r="I56" s="563">
        <f t="shared" si="32"/>
        <v>14</v>
      </c>
      <c r="J56" s="563">
        <f t="shared" si="32"/>
        <v>13</v>
      </c>
      <c r="K56" s="563">
        <f t="shared" si="32"/>
        <v>12</v>
      </c>
      <c r="L56" s="563">
        <f t="shared" si="32"/>
        <v>12</v>
      </c>
      <c r="M56" s="564">
        <f t="shared" si="32"/>
        <v>12</v>
      </c>
      <c r="N56" s="563">
        <f t="shared" si="32"/>
        <v>5</v>
      </c>
    </row>
    <row r="57" spans="1:14" x14ac:dyDescent="0.2">
      <c r="A57" s="562" t="str">
        <f t="shared" si="28"/>
        <v>&gt; L4 Pilots</v>
      </c>
      <c r="B57" s="563">
        <f t="shared" ref="B57:N57" si="33">ROUNDUP(IF(B$13="Deploy",MAX((B$77/100)*$B90,$B90),(B$77/100)*$B90),0)</f>
        <v>4</v>
      </c>
      <c r="C57" s="563">
        <f t="shared" si="33"/>
        <v>4</v>
      </c>
      <c r="D57" s="563">
        <f t="shared" si="33"/>
        <v>4</v>
      </c>
      <c r="E57" s="563">
        <f t="shared" si="33"/>
        <v>4</v>
      </c>
      <c r="F57" s="563">
        <f t="shared" si="33"/>
        <v>4</v>
      </c>
      <c r="G57" s="563">
        <f t="shared" si="33"/>
        <v>4</v>
      </c>
      <c r="H57" s="563">
        <f t="shared" si="33"/>
        <v>4</v>
      </c>
      <c r="I57" s="563">
        <f t="shared" si="33"/>
        <v>4</v>
      </c>
      <c r="J57" s="563">
        <f t="shared" si="33"/>
        <v>4</v>
      </c>
      <c r="K57" s="563">
        <f t="shared" si="33"/>
        <v>4</v>
      </c>
      <c r="L57" s="563">
        <f t="shared" si="33"/>
        <v>4</v>
      </c>
      <c r="M57" s="564">
        <f t="shared" si="33"/>
        <v>4</v>
      </c>
      <c r="N57" s="563">
        <f t="shared" si="33"/>
        <v>2</v>
      </c>
    </row>
    <row r="58" spans="1:14" s="21" customFormat="1" x14ac:dyDescent="0.2">
      <c r="A58" s="562" t="str">
        <f t="shared" si="28"/>
        <v>&gt; L3 Pilots</v>
      </c>
      <c r="B58" s="563">
        <f t="shared" ref="B58:N58" si="34">ROUNDUP(IF(B$13="Deploy",MAX((B$77/100)*$B91,$B91),(B$77/100)*$B91),0)</f>
        <v>12</v>
      </c>
      <c r="C58" s="563">
        <f t="shared" si="34"/>
        <v>12</v>
      </c>
      <c r="D58" s="563">
        <f t="shared" si="34"/>
        <v>11</v>
      </c>
      <c r="E58" s="563">
        <f t="shared" si="34"/>
        <v>11</v>
      </c>
      <c r="F58" s="563">
        <f t="shared" si="34"/>
        <v>10</v>
      </c>
      <c r="G58" s="563">
        <f t="shared" si="34"/>
        <v>12</v>
      </c>
      <c r="H58" s="563">
        <f t="shared" si="34"/>
        <v>12</v>
      </c>
      <c r="I58" s="563">
        <f t="shared" si="34"/>
        <v>12</v>
      </c>
      <c r="J58" s="563">
        <f t="shared" si="34"/>
        <v>11</v>
      </c>
      <c r="K58" s="563">
        <f t="shared" si="34"/>
        <v>11</v>
      </c>
      <c r="L58" s="563">
        <f t="shared" si="34"/>
        <v>10</v>
      </c>
      <c r="M58" s="564">
        <f t="shared" si="34"/>
        <v>10</v>
      </c>
      <c r="N58" s="563">
        <f t="shared" si="34"/>
        <v>4</v>
      </c>
    </row>
    <row r="59" spans="1:14" s="21" customFormat="1" x14ac:dyDescent="0.2">
      <c r="A59" s="562" t="str">
        <f t="shared" si="28"/>
        <v>&gt; L2 Pilots</v>
      </c>
      <c r="B59" s="563">
        <f t="shared" ref="B59:N59" si="35">ROUNDUP(IF(B$13="Deploy",MAX((B$77/100)*$B92,$B92),(B$77/100)*$B92),0)</f>
        <v>18</v>
      </c>
      <c r="C59" s="563">
        <f t="shared" si="35"/>
        <v>18</v>
      </c>
      <c r="D59" s="563">
        <f t="shared" si="35"/>
        <v>16</v>
      </c>
      <c r="E59" s="563">
        <f t="shared" si="35"/>
        <v>16</v>
      </c>
      <c r="F59" s="563">
        <f t="shared" si="35"/>
        <v>15</v>
      </c>
      <c r="G59" s="563">
        <f t="shared" si="35"/>
        <v>18</v>
      </c>
      <c r="H59" s="563">
        <f t="shared" si="35"/>
        <v>18</v>
      </c>
      <c r="I59" s="563">
        <f t="shared" si="35"/>
        <v>18</v>
      </c>
      <c r="J59" s="563">
        <f t="shared" si="35"/>
        <v>16</v>
      </c>
      <c r="K59" s="563">
        <f t="shared" si="35"/>
        <v>16</v>
      </c>
      <c r="L59" s="563">
        <f t="shared" si="35"/>
        <v>15</v>
      </c>
      <c r="M59" s="564">
        <f t="shared" si="35"/>
        <v>15</v>
      </c>
      <c r="N59" s="563">
        <f t="shared" si="35"/>
        <v>6</v>
      </c>
    </row>
    <row r="60" spans="1:14" s="21" customFormat="1" x14ac:dyDescent="0.2">
      <c r="A60" s="562" t="str">
        <f t="shared" si="28"/>
        <v>&gt; L1 Pilots</v>
      </c>
      <c r="B60" s="563">
        <f t="shared" ref="B60:N60" si="36">ROUNDUP(IF(B$13="Deploy",MAX((B$77/100)*$B93,$B93),(B$77/100)*$B93),0)</f>
        <v>18</v>
      </c>
      <c r="C60" s="563">
        <f t="shared" si="36"/>
        <v>18</v>
      </c>
      <c r="D60" s="563">
        <f t="shared" si="36"/>
        <v>16</v>
      </c>
      <c r="E60" s="563">
        <f t="shared" si="36"/>
        <v>16</v>
      </c>
      <c r="F60" s="563">
        <f t="shared" si="36"/>
        <v>15</v>
      </c>
      <c r="G60" s="563">
        <f t="shared" si="36"/>
        <v>18</v>
      </c>
      <c r="H60" s="563">
        <f t="shared" si="36"/>
        <v>18</v>
      </c>
      <c r="I60" s="563">
        <f t="shared" si="36"/>
        <v>18</v>
      </c>
      <c r="J60" s="563">
        <f t="shared" si="36"/>
        <v>16</v>
      </c>
      <c r="K60" s="563">
        <f t="shared" si="36"/>
        <v>16</v>
      </c>
      <c r="L60" s="563">
        <f t="shared" si="36"/>
        <v>15</v>
      </c>
      <c r="M60" s="564">
        <f t="shared" si="36"/>
        <v>15</v>
      </c>
      <c r="N60" s="563">
        <f t="shared" si="36"/>
        <v>6</v>
      </c>
    </row>
    <row r="61" spans="1:14" s="21" customFormat="1" x14ac:dyDescent="0.2">
      <c r="A61" s="562" t="str">
        <f t="shared" si="28"/>
        <v>&gt; L3 Crewman</v>
      </c>
      <c r="B61" s="563">
        <f t="shared" ref="B61:N61" si="37">ROUNDUP(IF(B$13="Deploy",MAX((B$77/100)*$B94,$B94),(B$77/100)*$B94),0)</f>
        <v>4</v>
      </c>
      <c r="C61" s="563">
        <f t="shared" si="37"/>
        <v>4</v>
      </c>
      <c r="D61" s="563">
        <f t="shared" si="37"/>
        <v>4</v>
      </c>
      <c r="E61" s="563">
        <f t="shared" si="37"/>
        <v>4</v>
      </c>
      <c r="F61" s="563">
        <f t="shared" si="37"/>
        <v>4</v>
      </c>
      <c r="G61" s="563">
        <f t="shared" si="37"/>
        <v>4</v>
      </c>
      <c r="H61" s="563">
        <f t="shared" si="37"/>
        <v>4</v>
      </c>
      <c r="I61" s="563">
        <f t="shared" si="37"/>
        <v>4</v>
      </c>
      <c r="J61" s="563">
        <f t="shared" si="37"/>
        <v>4</v>
      </c>
      <c r="K61" s="563">
        <f t="shared" si="37"/>
        <v>4</v>
      </c>
      <c r="L61" s="563">
        <f t="shared" si="37"/>
        <v>4</v>
      </c>
      <c r="M61" s="564">
        <f t="shared" si="37"/>
        <v>4</v>
      </c>
      <c r="N61" s="563">
        <f t="shared" si="37"/>
        <v>2</v>
      </c>
    </row>
    <row r="62" spans="1:14" s="21" customFormat="1" x14ac:dyDescent="0.2">
      <c r="A62" s="562" t="str">
        <f t="shared" si="28"/>
        <v xml:space="preserve">&gt; L2 Crewman </v>
      </c>
      <c r="B62" s="563">
        <f t="shared" ref="B62:N62" si="38">ROUNDUP(IF(B$13="Deploy",MAX((B$77/100)*$B95,$B95),(B$77/100)*$B95),0)</f>
        <v>9</v>
      </c>
      <c r="C62" s="563">
        <f t="shared" si="38"/>
        <v>9</v>
      </c>
      <c r="D62" s="563">
        <f t="shared" si="38"/>
        <v>8</v>
      </c>
      <c r="E62" s="563">
        <f t="shared" si="38"/>
        <v>8</v>
      </c>
      <c r="F62" s="563">
        <f t="shared" si="38"/>
        <v>8</v>
      </c>
      <c r="G62" s="563">
        <f t="shared" si="38"/>
        <v>9</v>
      </c>
      <c r="H62" s="563">
        <f t="shared" si="38"/>
        <v>9</v>
      </c>
      <c r="I62" s="563">
        <f t="shared" si="38"/>
        <v>9</v>
      </c>
      <c r="J62" s="563">
        <f t="shared" si="38"/>
        <v>8</v>
      </c>
      <c r="K62" s="563">
        <f t="shared" si="38"/>
        <v>8</v>
      </c>
      <c r="L62" s="563">
        <f t="shared" si="38"/>
        <v>8</v>
      </c>
      <c r="M62" s="564">
        <f t="shared" si="38"/>
        <v>8</v>
      </c>
      <c r="N62" s="563">
        <f t="shared" si="38"/>
        <v>3</v>
      </c>
    </row>
    <row r="63" spans="1:14" x14ac:dyDescent="0.2">
      <c r="A63" s="562" t="str">
        <f t="shared" si="28"/>
        <v xml:space="preserve">&gt; L1 Crewman </v>
      </c>
      <c r="B63" s="563">
        <f t="shared" ref="B63:N63" si="39">ROUNDUP(IF(B$13="Deploy",MAX((B$77/100)*$B96,$B96),(B$77/100)*$B96),0)</f>
        <v>9</v>
      </c>
      <c r="C63" s="563">
        <f t="shared" si="39"/>
        <v>9</v>
      </c>
      <c r="D63" s="563">
        <f t="shared" si="39"/>
        <v>8</v>
      </c>
      <c r="E63" s="563">
        <f t="shared" si="39"/>
        <v>8</v>
      </c>
      <c r="F63" s="563">
        <f t="shared" si="39"/>
        <v>8</v>
      </c>
      <c r="G63" s="563">
        <f t="shared" si="39"/>
        <v>9</v>
      </c>
      <c r="H63" s="563">
        <f t="shared" si="39"/>
        <v>9</v>
      </c>
      <c r="I63" s="563">
        <f t="shared" si="39"/>
        <v>9</v>
      </c>
      <c r="J63" s="563">
        <f t="shared" si="39"/>
        <v>8</v>
      </c>
      <c r="K63" s="563">
        <f t="shared" si="39"/>
        <v>8</v>
      </c>
      <c r="L63" s="563">
        <f t="shared" si="39"/>
        <v>8</v>
      </c>
      <c r="M63" s="564">
        <f t="shared" si="39"/>
        <v>8</v>
      </c>
      <c r="N63" s="563">
        <f t="shared" si="39"/>
        <v>3</v>
      </c>
    </row>
    <row r="64" spans="1:14" x14ac:dyDescent="0.2">
      <c r="A64" s="562" t="str">
        <f>A97</f>
        <v>DLQ Current HACS</v>
      </c>
      <c r="B64" s="563">
        <f t="shared" ref="B64:N64" si="40">ROUNDUP(IF(B$13="Deploy",MAX((B$77/100)*$B97,$B97),(B$77/100)*$B97),0)</f>
        <v>9</v>
      </c>
      <c r="C64" s="563">
        <f t="shared" si="40"/>
        <v>9</v>
      </c>
      <c r="D64" s="563">
        <f t="shared" si="40"/>
        <v>8</v>
      </c>
      <c r="E64" s="563">
        <f t="shared" si="40"/>
        <v>8</v>
      </c>
      <c r="F64" s="563">
        <f t="shared" si="40"/>
        <v>8</v>
      </c>
      <c r="G64" s="563">
        <f t="shared" si="40"/>
        <v>9</v>
      </c>
      <c r="H64" s="563">
        <f t="shared" si="40"/>
        <v>9</v>
      </c>
      <c r="I64" s="563">
        <f t="shared" si="40"/>
        <v>9</v>
      </c>
      <c r="J64" s="563">
        <f t="shared" si="40"/>
        <v>8</v>
      </c>
      <c r="K64" s="563">
        <f t="shared" si="40"/>
        <v>8</v>
      </c>
      <c r="L64" s="563">
        <f t="shared" si="40"/>
        <v>8</v>
      </c>
      <c r="M64" s="564">
        <f t="shared" si="40"/>
        <v>8</v>
      </c>
      <c r="N64" s="563">
        <f t="shared" si="40"/>
        <v>3</v>
      </c>
    </row>
    <row r="65" spans="1:14" x14ac:dyDescent="0.2">
      <c r="A65" s="562" t="str">
        <f>A98</f>
        <v>Required Skilled Crews</v>
      </c>
      <c r="B65" s="563">
        <f t="shared" ref="B65:N65" si="41">ROUNDUP(IF(B$13="Deploy",MAX((B$77/100)*$B98,$B98),(B$77/100)*$B98),0)</f>
        <v>9</v>
      </c>
      <c r="C65" s="563">
        <f t="shared" si="41"/>
        <v>9</v>
      </c>
      <c r="D65" s="563">
        <f t="shared" si="41"/>
        <v>8</v>
      </c>
      <c r="E65" s="563">
        <f t="shared" si="41"/>
        <v>8</v>
      </c>
      <c r="F65" s="563">
        <f t="shared" si="41"/>
        <v>8</v>
      </c>
      <c r="G65" s="563">
        <f t="shared" si="41"/>
        <v>9</v>
      </c>
      <c r="H65" s="563">
        <f t="shared" si="41"/>
        <v>9</v>
      </c>
      <c r="I65" s="563">
        <f t="shared" si="41"/>
        <v>9</v>
      </c>
      <c r="J65" s="563">
        <f t="shared" si="41"/>
        <v>8</v>
      </c>
      <c r="K65" s="563">
        <f t="shared" si="41"/>
        <v>8</v>
      </c>
      <c r="L65" s="563">
        <f t="shared" si="41"/>
        <v>8</v>
      </c>
      <c r="M65" s="564">
        <f t="shared" si="41"/>
        <v>8</v>
      </c>
      <c r="N65" s="563">
        <f t="shared" si="41"/>
        <v>3</v>
      </c>
    </row>
    <row r="66" spans="1:14" s="60" customFormat="1" ht="12.75" x14ac:dyDescent="0.2">
      <c r="A66" s="571" t="s">
        <v>156</v>
      </c>
      <c r="B66" s="572"/>
      <c r="C66" s="573"/>
      <c r="D66" s="573"/>
      <c r="E66" s="573"/>
      <c r="F66" s="573"/>
      <c r="G66" s="574"/>
      <c r="H66" s="574"/>
      <c r="I66" s="574"/>
      <c r="J66" s="574"/>
      <c r="K66" s="574"/>
      <c r="L66" s="574"/>
      <c r="M66" s="574"/>
      <c r="N66" s="627"/>
    </row>
    <row r="67" spans="1:14" s="60" customFormat="1" ht="12.75" x14ac:dyDescent="0.2">
      <c r="A67" s="515" t="s">
        <v>157</v>
      </c>
      <c r="B67" s="359">
        <v>0.95</v>
      </c>
      <c r="C67" s="359">
        <v>0.95</v>
      </c>
      <c r="D67" s="359">
        <v>0.95</v>
      </c>
      <c r="E67" s="359">
        <v>0.95</v>
      </c>
      <c r="F67" s="359">
        <v>0.95</v>
      </c>
      <c r="G67" s="359">
        <v>0.95</v>
      </c>
      <c r="H67" s="359">
        <v>0.95</v>
      </c>
      <c r="I67" s="359">
        <v>0.95</v>
      </c>
      <c r="J67" s="359">
        <v>0.95</v>
      </c>
      <c r="K67" s="359">
        <v>0.95</v>
      </c>
      <c r="L67" s="359">
        <v>0.95</v>
      </c>
      <c r="M67" s="366">
        <v>0.95</v>
      </c>
      <c r="N67" s="359">
        <v>0.95</v>
      </c>
    </row>
    <row r="68" spans="1:14" s="60" customFormat="1" ht="12.75" x14ac:dyDescent="0.2">
      <c r="A68" s="515" t="s">
        <v>158</v>
      </c>
      <c r="B68" s="580">
        <v>0.92</v>
      </c>
      <c r="C68" s="580">
        <v>0.92</v>
      </c>
      <c r="D68" s="580">
        <v>0.92</v>
      </c>
      <c r="E68" s="580">
        <v>0.92</v>
      </c>
      <c r="F68" s="580">
        <v>0.92</v>
      </c>
      <c r="G68" s="580">
        <v>0.92</v>
      </c>
      <c r="H68" s="580">
        <v>0.92</v>
      </c>
      <c r="I68" s="580">
        <v>0.92</v>
      </c>
      <c r="J68" s="580">
        <v>0.92</v>
      </c>
      <c r="K68" s="580">
        <v>0.92</v>
      </c>
      <c r="L68" s="580">
        <v>0.92</v>
      </c>
      <c r="M68" s="628">
        <v>0.92</v>
      </c>
      <c r="N68" s="580">
        <v>0.92</v>
      </c>
    </row>
    <row r="69" spans="1:14" x14ac:dyDescent="0.2">
      <c r="A69" s="515" t="s">
        <v>159</v>
      </c>
      <c r="B69" s="580">
        <v>0.75</v>
      </c>
      <c r="C69" s="580">
        <v>0.75</v>
      </c>
      <c r="D69" s="580">
        <v>0.75</v>
      </c>
      <c r="E69" s="580">
        <v>0.75</v>
      </c>
      <c r="F69" s="580">
        <v>0.75</v>
      </c>
      <c r="G69" s="580">
        <v>0.75</v>
      </c>
      <c r="H69" s="580">
        <v>0.75</v>
      </c>
      <c r="I69" s="580">
        <v>0.75</v>
      </c>
      <c r="J69" s="580">
        <v>0.75</v>
      </c>
      <c r="K69" s="580">
        <v>0.75</v>
      </c>
      <c r="L69" s="580">
        <v>0.75</v>
      </c>
      <c r="M69" s="628">
        <v>0.75</v>
      </c>
      <c r="N69" s="580">
        <v>0.75</v>
      </c>
    </row>
    <row r="71" spans="1:14" ht="12.75" x14ac:dyDescent="0.2">
      <c r="A71" s="53"/>
      <c r="B71" s="64"/>
      <c r="C71" s="64"/>
      <c r="D71" s="53"/>
      <c r="E71" s="53"/>
      <c r="F71" s="53"/>
      <c r="G71" s="53"/>
      <c r="H71" s="54"/>
      <c r="I71" s="55"/>
      <c r="J71" s="55"/>
      <c r="K71" s="56"/>
      <c r="L71" s="56"/>
      <c r="M71" s="57"/>
      <c r="N71" s="60"/>
    </row>
    <row r="72" spans="1:14" ht="12.75" x14ac:dyDescent="0.2">
      <c r="A72" s="53"/>
      <c r="B72" s="64"/>
      <c r="C72" s="64"/>
      <c r="D72" s="53"/>
      <c r="E72" s="53"/>
      <c r="F72" s="53"/>
      <c r="G72" s="53"/>
      <c r="H72" s="276"/>
      <c r="I72" s="61"/>
      <c r="J72" s="55"/>
      <c r="K72" s="56"/>
      <c r="L72" s="56"/>
      <c r="M72" s="276"/>
      <c r="N72" s="60"/>
    </row>
    <row r="73" spans="1:14" ht="13.5" thickBot="1" x14ac:dyDescent="0.25">
      <c r="A73" s="53"/>
      <c r="B73" s="64"/>
      <c r="C73" s="53"/>
      <c r="D73" s="53"/>
      <c r="E73" s="53"/>
      <c r="F73" s="53"/>
      <c r="G73" s="53"/>
      <c r="H73" s="65"/>
      <c r="I73" s="61"/>
      <c r="J73" s="55"/>
      <c r="K73" s="56"/>
      <c r="L73" s="56"/>
      <c r="M73" s="65"/>
      <c r="N73" s="60"/>
    </row>
    <row r="74" spans="1:14" ht="12.75" thickBot="1" x14ac:dyDescent="0.25">
      <c r="A74" s="717" t="s">
        <v>160</v>
      </c>
      <c r="B74" s="718"/>
      <c r="C74" s="718"/>
      <c r="D74" s="718"/>
      <c r="E74" s="718"/>
      <c r="F74" s="718"/>
      <c r="G74" s="718"/>
      <c r="H74" s="718"/>
      <c r="I74" s="718"/>
      <c r="J74" s="718"/>
      <c r="K74" s="718"/>
      <c r="L74" s="718"/>
      <c r="M74" s="718"/>
      <c r="N74" s="719"/>
    </row>
    <row r="75" spans="1:14" x14ac:dyDescent="0.2">
      <c r="A75" s="127" t="s">
        <v>161</v>
      </c>
      <c r="B75" s="128">
        <f t="shared" ref="B75:N75" si="42">MIN(100,B77+$B$81)</f>
        <v>100</v>
      </c>
      <c r="C75" s="128">
        <f t="shared" si="42"/>
        <v>100</v>
      </c>
      <c r="D75" s="128">
        <f t="shared" si="42"/>
        <v>95.874007874011809</v>
      </c>
      <c r="E75" s="128">
        <f t="shared" si="42"/>
        <v>92.874007874011809</v>
      </c>
      <c r="F75" s="128">
        <f t="shared" si="42"/>
        <v>90.874007874011809</v>
      </c>
      <c r="G75" s="128">
        <f t="shared" si="42"/>
        <v>100</v>
      </c>
      <c r="H75" s="128">
        <f t="shared" si="42"/>
        <v>100</v>
      </c>
      <c r="I75" s="128">
        <f t="shared" si="42"/>
        <v>100</v>
      </c>
      <c r="J75" s="128">
        <f t="shared" si="42"/>
        <v>95.874007874011809</v>
      </c>
      <c r="K75" s="128">
        <f t="shared" si="42"/>
        <v>92.874007874011809</v>
      </c>
      <c r="L75" s="128">
        <f t="shared" si="42"/>
        <v>90.874007874011809</v>
      </c>
      <c r="M75" s="261">
        <f t="shared" si="42"/>
        <v>87.874007874011809</v>
      </c>
      <c r="N75" s="262">
        <f t="shared" si="42"/>
        <v>37.874007874011809</v>
      </c>
    </row>
    <row r="76" spans="1:14" x14ac:dyDescent="0.2">
      <c r="A76" s="22" t="s">
        <v>162</v>
      </c>
      <c r="B76" s="582">
        <f t="shared" ref="B76:N76" si="43">MIN(100,B77+$B$82)</f>
        <v>100</v>
      </c>
      <c r="C76" s="582">
        <f t="shared" si="43"/>
        <v>100</v>
      </c>
      <c r="D76" s="582">
        <f t="shared" si="43"/>
        <v>91.937003937005912</v>
      </c>
      <c r="E76" s="582">
        <f t="shared" si="43"/>
        <v>88.937003937005912</v>
      </c>
      <c r="F76" s="582">
        <f t="shared" si="43"/>
        <v>86.937003937005912</v>
      </c>
      <c r="G76" s="582">
        <f t="shared" si="43"/>
        <v>100</v>
      </c>
      <c r="H76" s="582">
        <f t="shared" si="43"/>
        <v>100</v>
      </c>
      <c r="I76" s="582">
        <f t="shared" si="43"/>
        <v>100</v>
      </c>
      <c r="J76" s="582">
        <f t="shared" si="43"/>
        <v>91.937003937005912</v>
      </c>
      <c r="K76" s="582">
        <f t="shared" si="43"/>
        <v>88.937003937005912</v>
      </c>
      <c r="L76" s="582">
        <f t="shared" si="43"/>
        <v>86.937003937005912</v>
      </c>
      <c r="M76" s="629">
        <f t="shared" si="43"/>
        <v>83.937003937005912</v>
      </c>
      <c r="N76" s="124">
        <f t="shared" si="43"/>
        <v>33.937003937005905</v>
      </c>
    </row>
    <row r="77" spans="1:14" s="52" customFormat="1" x14ac:dyDescent="0.2">
      <c r="A77" s="22" t="s">
        <v>163</v>
      </c>
      <c r="B77" s="584">
        <v>100</v>
      </c>
      <c r="C77" s="584">
        <v>100</v>
      </c>
      <c r="D77" s="584">
        <v>88</v>
      </c>
      <c r="E77" s="584">
        <v>85</v>
      </c>
      <c r="F77" s="584">
        <v>83</v>
      </c>
      <c r="G77" s="584">
        <v>100</v>
      </c>
      <c r="H77" s="584">
        <v>100</v>
      </c>
      <c r="I77" s="584">
        <v>100</v>
      </c>
      <c r="J77" s="584">
        <v>88</v>
      </c>
      <c r="K77" s="584">
        <v>85</v>
      </c>
      <c r="L77" s="584">
        <v>83</v>
      </c>
      <c r="M77" s="630">
        <v>80</v>
      </c>
      <c r="N77" s="125">
        <v>30</v>
      </c>
    </row>
    <row r="78" spans="1:14" s="52" customFormat="1" x14ac:dyDescent="0.2">
      <c r="A78" s="22" t="s">
        <v>164</v>
      </c>
      <c r="B78" s="582">
        <f t="shared" ref="B78:N78" si="44">MIN(80,IF(B13="Deploy",80,MAX(0,B77-$B$82)))</f>
        <v>80</v>
      </c>
      <c r="C78" s="582">
        <f t="shared" si="44"/>
        <v>80</v>
      </c>
      <c r="D78" s="582">
        <f t="shared" si="44"/>
        <v>80</v>
      </c>
      <c r="E78" s="582">
        <f t="shared" si="44"/>
        <v>80</v>
      </c>
      <c r="F78" s="582">
        <f t="shared" si="44"/>
        <v>79.062996062994088</v>
      </c>
      <c r="G78" s="582">
        <f t="shared" si="44"/>
        <v>80</v>
      </c>
      <c r="H78" s="582">
        <f t="shared" si="44"/>
        <v>80</v>
      </c>
      <c r="I78" s="582">
        <f t="shared" si="44"/>
        <v>80</v>
      </c>
      <c r="J78" s="582">
        <f t="shared" si="44"/>
        <v>80</v>
      </c>
      <c r="K78" s="582">
        <f t="shared" si="44"/>
        <v>80</v>
      </c>
      <c r="L78" s="582">
        <f t="shared" si="44"/>
        <v>79.062996062994088</v>
      </c>
      <c r="M78" s="629">
        <f t="shared" si="44"/>
        <v>76.062996062994088</v>
      </c>
      <c r="N78" s="124">
        <f t="shared" si="44"/>
        <v>26.062996062994095</v>
      </c>
    </row>
    <row r="79" spans="1:14" ht="12.75" thickBot="1" x14ac:dyDescent="0.25">
      <c r="A79" s="23" t="s">
        <v>165</v>
      </c>
      <c r="B79" s="24">
        <f t="shared" ref="B79:N79" si="45">MIN(60,IF(B14="Deploy",60,MAX(0,B77-$B$81)))</f>
        <v>60</v>
      </c>
      <c r="C79" s="24">
        <f t="shared" si="45"/>
        <v>60</v>
      </c>
      <c r="D79" s="24">
        <f t="shared" si="45"/>
        <v>60</v>
      </c>
      <c r="E79" s="24">
        <f t="shared" si="45"/>
        <v>60</v>
      </c>
      <c r="F79" s="24">
        <f t="shared" si="45"/>
        <v>60</v>
      </c>
      <c r="G79" s="24">
        <f t="shared" si="45"/>
        <v>60</v>
      </c>
      <c r="H79" s="24">
        <f t="shared" si="45"/>
        <v>60</v>
      </c>
      <c r="I79" s="24">
        <f t="shared" si="45"/>
        <v>60</v>
      </c>
      <c r="J79" s="24">
        <f t="shared" si="45"/>
        <v>60</v>
      </c>
      <c r="K79" s="24">
        <f t="shared" si="45"/>
        <v>60</v>
      </c>
      <c r="L79" s="24">
        <f t="shared" si="45"/>
        <v>60</v>
      </c>
      <c r="M79" s="171">
        <f t="shared" si="45"/>
        <v>60</v>
      </c>
      <c r="N79" s="126">
        <f t="shared" si="45"/>
        <v>22.125992125988191</v>
      </c>
    </row>
    <row r="80" spans="1:14" ht="12.75" thickBot="1" x14ac:dyDescent="0.25">
      <c r="A80" s="264" t="s">
        <v>166</v>
      </c>
      <c r="B80" s="265" t="s">
        <v>203</v>
      </c>
      <c r="C80" s="265" t="s">
        <v>203</v>
      </c>
      <c r="D80" s="265" t="s">
        <v>203</v>
      </c>
      <c r="E80" s="265" t="s">
        <v>203</v>
      </c>
      <c r="F80" s="265" t="s">
        <v>203</v>
      </c>
      <c r="G80" s="265" t="s">
        <v>203</v>
      </c>
      <c r="H80" s="265" t="s">
        <v>203</v>
      </c>
      <c r="I80" s="265" t="s">
        <v>203</v>
      </c>
      <c r="J80" s="265" t="s">
        <v>203</v>
      </c>
      <c r="K80" s="265" t="s">
        <v>203</v>
      </c>
      <c r="L80" s="265" t="s">
        <v>203</v>
      </c>
      <c r="M80" s="265" t="s">
        <v>203</v>
      </c>
      <c r="N80" s="265" t="s">
        <v>203</v>
      </c>
    </row>
    <row r="81" spans="1:14" x14ac:dyDescent="0.2">
      <c r="A81" s="80" t="s">
        <v>167</v>
      </c>
      <c r="B81" s="81">
        <f t="array" ref="B81">SQRT(SUM(POWER(AVERAGE(B77:M77)-(B77:M77),2))/COUNT(B77:M77))*1</f>
        <v>7.8740078740118111</v>
      </c>
    </row>
    <row r="82" spans="1:14" ht="12.75" thickBot="1" x14ac:dyDescent="0.25">
      <c r="A82" s="82" t="s">
        <v>168</v>
      </c>
      <c r="B82" s="83">
        <f>B81/2</f>
        <v>3.9370039370059056</v>
      </c>
    </row>
    <row r="83" spans="1:14" ht="12.75" thickBot="1" x14ac:dyDescent="0.25">
      <c r="A83" s="17"/>
      <c r="B83" s="17"/>
    </row>
    <row r="84" spans="1:14" ht="12.75" thickBot="1" x14ac:dyDescent="0.25">
      <c r="A84" s="745" t="s">
        <v>169</v>
      </c>
      <c r="B84" s="746"/>
      <c r="C84" s="52"/>
      <c r="D84" s="67"/>
      <c r="E84" s="67"/>
      <c r="F84" s="67"/>
      <c r="G84" s="67"/>
      <c r="H84" s="67"/>
      <c r="I84" s="52"/>
      <c r="J84" s="52"/>
      <c r="K84" s="52"/>
      <c r="L84" s="52"/>
      <c r="M84" s="52"/>
      <c r="N84" s="52"/>
    </row>
    <row r="85" spans="1:14" ht="12.75" thickBot="1" x14ac:dyDescent="0.25">
      <c r="A85" s="747" t="s">
        <v>170</v>
      </c>
      <c r="B85" s="748"/>
      <c r="C85" s="52"/>
      <c r="D85" s="67"/>
      <c r="E85" s="67"/>
      <c r="F85" s="67"/>
      <c r="G85" s="67"/>
      <c r="H85" s="67"/>
      <c r="I85" s="52"/>
      <c r="J85" s="52"/>
      <c r="K85" s="52"/>
      <c r="L85" s="52"/>
      <c r="M85" s="52"/>
      <c r="N85" s="52"/>
    </row>
    <row r="86" spans="1:14" ht="12.75" thickTop="1" x14ac:dyDescent="0.2">
      <c r="A86" s="26" t="s">
        <v>171</v>
      </c>
      <c r="B86" s="27">
        <v>28</v>
      </c>
      <c r="D86" s="28"/>
    </row>
    <row r="87" spans="1:14" x14ac:dyDescent="0.2">
      <c r="A87" s="31" t="s">
        <v>172</v>
      </c>
      <c r="B87" s="586">
        <v>28</v>
      </c>
      <c r="D87" s="28"/>
    </row>
    <row r="88" spans="1:14" x14ac:dyDescent="0.2">
      <c r="A88" s="26" t="s">
        <v>173</v>
      </c>
      <c r="B88" s="27">
        <v>14</v>
      </c>
      <c r="D88" s="28"/>
      <c r="H88" s="30"/>
    </row>
    <row r="89" spans="1:14" x14ac:dyDescent="0.2">
      <c r="A89" s="31" t="s">
        <v>174</v>
      </c>
      <c r="B89" s="586">
        <v>14</v>
      </c>
      <c r="D89" s="28"/>
    </row>
    <row r="90" spans="1:14" x14ac:dyDescent="0.2">
      <c r="A90" s="31" t="s">
        <v>175</v>
      </c>
      <c r="B90" s="587">
        <v>4</v>
      </c>
      <c r="D90" s="33"/>
      <c r="F90" s="29"/>
      <c r="G90" s="30"/>
      <c r="H90" s="30"/>
    </row>
    <row r="91" spans="1:14" x14ac:dyDescent="0.2">
      <c r="A91" s="31" t="s">
        <v>176</v>
      </c>
      <c r="B91" s="587">
        <v>12</v>
      </c>
      <c r="D91" s="33"/>
      <c r="F91" s="32"/>
      <c r="G91" s="30"/>
      <c r="H91" s="30"/>
    </row>
    <row r="92" spans="1:14" x14ac:dyDescent="0.2">
      <c r="A92" s="31" t="s">
        <v>177</v>
      </c>
      <c r="B92" s="587">
        <v>18</v>
      </c>
      <c r="D92" s="33"/>
      <c r="F92" s="28"/>
      <c r="G92" s="30"/>
      <c r="H92" s="30"/>
    </row>
    <row r="93" spans="1:14" x14ac:dyDescent="0.2">
      <c r="A93" s="31" t="s">
        <v>178</v>
      </c>
      <c r="B93" s="586">
        <v>18</v>
      </c>
      <c r="D93" s="33"/>
      <c r="F93" s="28"/>
      <c r="G93" s="30"/>
    </row>
    <row r="94" spans="1:14" x14ac:dyDescent="0.2">
      <c r="A94" s="31" t="s">
        <v>179</v>
      </c>
      <c r="B94" s="587">
        <v>4</v>
      </c>
      <c r="D94" s="33"/>
      <c r="F94" s="28"/>
      <c r="G94" s="30"/>
    </row>
    <row r="95" spans="1:14" x14ac:dyDescent="0.2">
      <c r="A95" s="31" t="s">
        <v>180</v>
      </c>
      <c r="B95" s="588">
        <v>9</v>
      </c>
      <c r="D95" s="33"/>
      <c r="F95" s="28"/>
      <c r="G95" s="30"/>
      <c r="H95" s="30"/>
    </row>
    <row r="96" spans="1:14" x14ac:dyDescent="0.2">
      <c r="A96" s="31" t="s">
        <v>181</v>
      </c>
      <c r="B96" s="588">
        <v>9</v>
      </c>
      <c r="D96" s="33"/>
      <c r="F96" s="28"/>
      <c r="G96" s="30"/>
    </row>
    <row r="97" spans="1:14" x14ac:dyDescent="0.2">
      <c r="A97" s="31" t="s">
        <v>182</v>
      </c>
      <c r="B97" s="589">
        <v>9</v>
      </c>
      <c r="D97" s="33"/>
      <c r="F97" s="28"/>
      <c r="G97" s="30"/>
      <c r="H97" s="30"/>
    </row>
    <row r="98" spans="1:14" ht="12.75" thickBot="1" x14ac:dyDescent="0.25">
      <c r="A98" s="34" t="s">
        <v>183</v>
      </c>
      <c r="B98" s="35">
        <v>9</v>
      </c>
    </row>
    <row r="99" spans="1:14" ht="12.75" thickBot="1" x14ac:dyDescent="0.25"/>
    <row r="100" spans="1:14" ht="12.75" thickBot="1" x14ac:dyDescent="0.25">
      <c r="A100" s="745" t="s">
        <v>184</v>
      </c>
      <c r="B100" s="746"/>
    </row>
    <row r="101" spans="1:14" x14ac:dyDescent="0.2">
      <c r="A101" s="110" t="s">
        <v>185</v>
      </c>
      <c r="B101" s="111"/>
      <c r="C101" s="111"/>
      <c r="D101" s="111" t="s">
        <v>186</v>
      </c>
      <c r="E101" s="111" t="s">
        <v>186</v>
      </c>
      <c r="F101" s="111" t="s">
        <v>186</v>
      </c>
      <c r="G101" s="111"/>
      <c r="H101" s="111"/>
      <c r="I101" s="111"/>
      <c r="J101" s="111" t="s">
        <v>186</v>
      </c>
      <c r="K101" s="111" t="s">
        <v>186</v>
      </c>
      <c r="L101" s="111" t="s">
        <v>186</v>
      </c>
      <c r="M101" s="111" t="s">
        <v>186</v>
      </c>
      <c r="N101" s="113" t="s">
        <v>186</v>
      </c>
    </row>
    <row r="102" spans="1:14" ht="12.75" thickBot="1" x14ac:dyDescent="0.25">
      <c r="A102" s="82" t="s">
        <v>187</v>
      </c>
      <c r="B102" s="114" t="s">
        <v>186</v>
      </c>
      <c r="C102" s="114" t="s">
        <v>186</v>
      </c>
      <c r="D102" s="114"/>
      <c r="E102" s="114"/>
      <c r="F102" s="114"/>
      <c r="G102" s="114" t="s">
        <v>186</v>
      </c>
      <c r="H102" s="114" t="s">
        <v>186</v>
      </c>
      <c r="I102" s="114" t="s">
        <v>186</v>
      </c>
      <c r="J102" s="114"/>
      <c r="K102" s="114"/>
      <c r="L102" s="114"/>
      <c r="M102" s="114"/>
      <c r="N102" s="36"/>
    </row>
    <row r="103" spans="1:14" ht="12.75" thickBot="1" x14ac:dyDescent="0.25"/>
    <row r="104" spans="1:14" ht="13.5" thickBot="1" x14ac:dyDescent="0.25">
      <c r="A104" s="377" t="s">
        <v>188</v>
      </c>
      <c r="B104" s="736" t="s">
        <v>189</v>
      </c>
      <c r="C104" s="737"/>
      <c r="D104" s="738" t="s">
        <v>190</v>
      </c>
      <c r="E104" s="739"/>
      <c r="F104" s="740" t="s">
        <v>191</v>
      </c>
      <c r="G104" s="741"/>
      <c r="I104" s="260" t="s">
        <v>192</v>
      </c>
    </row>
    <row r="105" spans="1:14" ht="12.75" x14ac:dyDescent="0.2">
      <c r="A105" s="378" t="s">
        <v>193</v>
      </c>
      <c r="B105" s="271"/>
      <c r="C105" s="272"/>
      <c r="D105" s="272"/>
      <c r="E105" s="272"/>
      <c r="F105" s="272"/>
      <c r="G105" s="273"/>
      <c r="I105" s="144" t="s">
        <v>44</v>
      </c>
    </row>
    <row r="106" spans="1:14" x14ac:dyDescent="0.2">
      <c r="A106" s="379" t="s">
        <v>194</v>
      </c>
      <c r="B106" s="590">
        <v>7</v>
      </c>
      <c r="C106" s="590"/>
      <c r="D106" s="591">
        <v>6</v>
      </c>
      <c r="E106" s="591">
        <v>4</v>
      </c>
      <c r="F106" s="592">
        <v>3</v>
      </c>
      <c r="G106" s="593">
        <v>0</v>
      </c>
    </row>
    <row r="107" spans="1:14" x14ac:dyDescent="0.2">
      <c r="A107" s="379" t="s">
        <v>195</v>
      </c>
      <c r="B107" s="594">
        <v>7</v>
      </c>
      <c r="C107" s="590">
        <v>5</v>
      </c>
      <c r="D107" s="595">
        <v>4</v>
      </c>
      <c r="E107" s="595">
        <v>3</v>
      </c>
      <c r="F107" s="596">
        <v>2</v>
      </c>
      <c r="G107" s="597">
        <v>0</v>
      </c>
    </row>
    <row r="108" spans="1:14" x14ac:dyDescent="0.2">
      <c r="A108" s="380" t="str">
        <f t="shared" ref="A108:A121" si="46">A38</f>
        <v>Integrated Mission Systems</v>
      </c>
      <c r="B108" s="499"/>
      <c r="C108" s="598"/>
      <c r="D108" s="598"/>
      <c r="E108" s="598"/>
      <c r="F108" s="598"/>
      <c r="G108" s="599"/>
    </row>
    <row r="109" spans="1:14" x14ac:dyDescent="0.2">
      <c r="A109" s="379" t="str">
        <f t="shared" si="46"/>
        <v>Ready MH-60R Command Control Communication Mission Systems (C)</v>
      </c>
      <c r="B109" s="594">
        <v>7</v>
      </c>
      <c r="C109" s="233">
        <f>ROUND(I39,0)</f>
        <v>4</v>
      </c>
      <c r="D109" s="595">
        <f t="shared" ref="D109:D118" si="47">C109-1</f>
        <v>3</v>
      </c>
      <c r="E109" s="595">
        <v>3</v>
      </c>
      <c r="F109" s="596">
        <v>2</v>
      </c>
      <c r="G109" s="597">
        <v>0</v>
      </c>
    </row>
    <row r="110" spans="1:14" x14ac:dyDescent="0.2">
      <c r="A110" s="379" t="str">
        <f t="shared" si="46"/>
        <v>Ready MH-60R Hawk Link Mission Systems (D)</v>
      </c>
      <c r="B110" s="594">
        <v>7</v>
      </c>
      <c r="C110" s="233">
        <f t="shared" ref="C110:C116" si="48">ROUND(I40,0)</f>
        <v>3</v>
      </c>
      <c r="D110" s="595">
        <f t="shared" si="47"/>
        <v>2</v>
      </c>
      <c r="E110" s="595">
        <v>2</v>
      </c>
      <c r="F110" s="596">
        <v>1</v>
      </c>
      <c r="G110" s="597">
        <v>0</v>
      </c>
    </row>
    <row r="111" spans="1:14" x14ac:dyDescent="0.2">
      <c r="A111" s="379" t="str">
        <f t="shared" si="46"/>
        <v>Ready MH-60R ASUW Mission Systems (E)</v>
      </c>
      <c r="B111" s="594">
        <v>7</v>
      </c>
      <c r="C111" s="233">
        <f t="shared" si="48"/>
        <v>3</v>
      </c>
      <c r="D111" s="595">
        <f t="shared" si="47"/>
        <v>2</v>
      </c>
      <c r="E111" s="595">
        <v>2</v>
      </c>
      <c r="F111" s="596">
        <v>1</v>
      </c>
      <c r="G111" s="597">
        <v>0</v>
      </c>
    </row>
    <row r="112" spans="1:14" x14ac:dyDescent="0.2">
      <c r="A112" s="379" t="str">
        <f t="shared" si="46"/>
        <v>Ready MH-60R ASW Mission Systems (F)</v>
      </c>
      <c r="B112" s="594">
        <v>7</v>
      </c>
      <c r="C112" s="233">
        <f t="shared" si="48"/>
        <v>2</v>
      </c>
      <c r="D112" s="595">
        <f t="shared" si="47"/>
        <v>1</v>
      </c>
      <c r="E112" s="595">
        <v>1</v>
      </c>
      <c r="F112" s="596">
        <v>0</v>
      </c>
      <c r="G112" s="597">
        <v>0</v>
      </c>
    </row>
    <row r="113" spans="1:7" x14ac:dyDescent="0.2">
      <c r="A113" s="379" t="str">
        <f t="shared" si="46"/>
        <v>Ready MH-60R Ordnance Mission Systems (G)</v>
      </c>
      <c r="B113" s="594">
        <v>7</v>
      </c>
      <c r="C113" s="233">
        <f t="shared" si="48"/>
        <v>3</v>
      </c>
      <c r="D113" s="595">
        <f t="shared" si="47"/>
        <v>2</v>
      </c>
      <c r="E113" s="595">
        <v>2</v>
      </c>
      <c r="F113" s="596">
        <v>1</v>
      </c>
      <c r="G113" s="597">
        <v>0</v>
      </c>
    </row>
    <row r="114" spans="1:7" x14ac:dyDescent="0.2">
      <c r="A114" s="379" t="str">
        <f t="shared" si="46"/>
        <v>Ready MH-60R Survivability Mission Systems (H)</v>
      </c>
      <c r="B114" s="594">
        <v>7</v>
      </c>
      <c r="C114" s="233">
        <f t="shared" si="48"/>
        <v>1</v>
      </c>
      <c r="D114" s="595">
        <v>1</v>
      </c>
      <c r="E114" s="595">
        <v>1</v>
      </c>
      <c r="F114" s="596">
        <v>0</v>
      </c>
      <c r="G114" s="597">
        <v>0</v>
      </c>
    </row>
    <row r="115" spans="1:7" x14ac:dyDescent="0.2">
      <c r="A115" s="379" t="str">
        <f t="shared" si="46"/>
        <v>Ready MH-60R Basic Mission Systems (I)</v>
      </c>
      <c r="B115" s="594">
        <v>7</v>
      </c>
      <c r="C115" s="233">
        <f t="shared" si="48"/>
        <v>5</v>
      </c>
      <c r="D115" s="595">
        <f t="shared" si="47"/>
        <v>4</v>
      </c>
      <c r="E115" s="595">
        <v>3</v>
      </c>
      <c r="F115" s="596">
        <v>2</v>
      </c>
      <c r="G115" s="597">
        <v>0</v>
      </c>
    </row>
    <row r="116" spans="1:7" x14ac:dyDescent="0.2">
      <c r="A116" s="379" t="str">
        <f t="shared" si="46"/>
        <v>Ready MH-60R Extended Mobility Mission Systems (J)</v>
      </c>
      <c r="B116" s="594">
        <v>7</v>
      </c>
      <c r="C116" s="233">
        <f t="shared" si="48"/>
        <v>2</v>
      </c>
      <c r="D116" s="595">
        <f t="shared" si="47"/>
        <v>1</v>
      </c>
      <c r="E116" s="595">
        <v>1</v>
      </c>
      <c r="F116" s="596">
        <v>0</v>
      </c>
      <c r="G116" s="597">
        <v>0</v>
      </c>
    </row>
    <row r="117" spans="1:7" x14ac:dyDescent="0.2">
      <c r="A117" s="379" t="str">
        <f t="shared" si="46"/>
        <v>Ready MH-60R Shipboard Mission Systems (K)</v>
      </c>
      <c r="B117" s="594">
        <v>7</v>
      </c>
      <c r="C117" s="233">
        <v>5</v>
      </c>
      <c r="D117" s="595">
        <f t="shared" si="47"/>
        <v>4</v>
      </c>
      <c r="E117" s="595">
        <v>3</v>
      </c>
      <c r="F117" s="596">
        <v>2</v>
      </c>
      <c r="G117" s="597">
        <v>0</v>
      </c>
    </row>
    <row r="118" spans="1:7" x14ac:dyDescent="0.2">
      <c r="A118" s="379" t="str">
        <f t="shared" si="46"/>
        <v>Ready MH-60R IMC Flight Mission Systems (L)</v>
      </c>
      <c r="B118" s="594">
        <v>7</v>
      </c>
      <c r="C118" s="233">
        <v>5</v>
      </c>
      <c r="D118" s="595">
        <f t="shared" si="47"/>
        <v>4</v>
      </c>
      <c r="E118" s="595">
        <v>3</v>
      </c>
      <c r="F118" s="596">
        <v>2</v>
      </c>
      <c r="G118" s="597">
        <v>0</v>
      </c>
    </row>
    <row r="119" spans="1:7" x14ac:dyDescent="0.2">
      <c r="A119" s="381" t="str">
        <f t="shared" si="46"/>
        <v>Non-Integrated Mission Systems</v>
      </c>
      <c r="B119" s="499"/>
      <c r="C119" s="598"/>
      <c r="D119" s="598"/>
      <c r="E119" s="598"/>
      <c r="F119" s="598"/>
      <c r="G119" s="599"/>
    </row>
    <row r="120" spans="1:7" x14ac:dyDescent="0.2">
      <c r="A120" s="379" t="str">
        <f t="shared" si="46"/>
        <v xml:space="preserve">Assigned ALFS </v>
      </c>
      <c r="B120" s="233">
        <v>7</v>
      </c>
      <c r="C120" s="233"/>
      <c r="D120" s="235">
        <v>6</v>
      </c>
      <c r="E120" s="235">
        <v>4</v>
      </c>
      <c r="F120" s="236">
        <v>3</v>
      </c>
      <c r="G120" s="234">
        <v>0</v>
      </c>
    </row>
    <row r="121" spans="1:7" ht="12.75" thickBot="1" x14ac:dyDescent="0.25">
      <c r="A121" s="382" t="str">
        <f t="shared" si="46"/>
        <v xml:space="preserve">Ready ALFS </v>
      </c>
      <c r="B121" s="274">
        <v>7</v>
      </c>
      <c r="C121" s="274">
        <v>4</v>
      </c>
      <c r="D121" s="231">
        <v>3</v>
      </c>
      <c r="E121" s="231">
        <v>2</v>
      </c>
      <c r="F121" s="232">
        <v>1</v>
      </c>
      <c r="G121" s="275">
        <v>0</v>
      </c>
    </row>
    <row r="124" spans="1:7" x14ac:dyDescent="0.2">
      <c r="A124" s="383" t="s">
        <v>196</v>
      </c>
      <c r="B124" s="383" t="s">
        <v>204</v>
      </c>
    </row>
    <row r="125" spans="1:7" x14ac:dyDescent="0.2">
      <c r="A125" s="600" t="s">
        <v>198</v>
      </c>
      <c r="B125" s="601">
        <f>HLOOKUP($B$124,'MH-60R Mission System Summary'!$B$1:$F$12,2,FALSE)</f>
        <v>0.84644714417569877</v>
      </c>
    </row>
    <row r="126" spans="1:7" x14ac:dyDescent="0.2">
      <c r="A126" s="600" t="s">
        <v>142</v>
      </c>
      <c r="B126" s="601">
        <f>HLOOKUP($B$124,'MH-60R Mission System Summary'!$B$1:$F$12,3,FALSE)</f>
        <v>0.68039861613732344</v>
      </c>
    </row>
    <row r="127" spans="1:7" x14ac:dyDescent="0.2">
      <c r="A127" s="600" t="s">
        <v>143</v>
      </c>
      <c r="B127" s="601">
        <f>HLOOKUP($B$124,'MH-60R Mission System Summary'!$B$1:$F$12,4,FALSE)</f>
        <v>0.51802981180318242</v>
      </c>
    </row>
    <row r="128" spans="1:7" x14ac:dyDescent="0.2">
      <c r="A128" s="600" t="s">
        <v>144</v>
      </c>
      <c r="B128" s="601">
        <f>HLOOKUP($B$124,'MH-60R Mission System Summary'!$B$1:$F$12,5,FALSE)</f>
        <v>0.5290431996940641</v>
      </c>
    </row>
    <row r="129" spans="1:2" x14ac:dyDescent="0.2">
      <c r="A129" s="600" t="s">
        <v>145</v>
      </c>
      <c r="B129" s="601">
        <f>HLOOKUP($B$124,'MH-60R Mission System Summary'!$B$1:$F$12,6,FALSE)</f>
        <v>0.35723434859631048</v>
      </c>
    </row>
    <row r="130" spans="1:2" x14ac:dyDescent="0.2">
      <c r="A130" s="600" t="s">
        <v>146</v>
      </c>
      <c r="B130" s="601">
        <f>HLOOKUP($B$124,'MH-60R Mission System Summary'!$B$1:$F$12,7,FALSE)</f>
        <v>0.45841156910101039</v>
      </c>
    </row>
    <row r="131" spans="1:2" x14ac:dyDescent="0.2">
      <c r="A131" s="600" t="s">
        <v>147</v>
      </c>
      <c r="B131" s="601">
        <f>HLOOKUP($B$124,'MH-60R Mission System Summary'!$B$1:$F$12,8,FALSE)</f>
        <v>0.25472392850481967</v>
      </c>
    </row>
    <row r="132" spans="1:2" x14ac:dyDescent="0.2">
      <c r="A132" s="600" t="s">
        <v>148</v>
      </c>
      <c r="B132" s="601">
        <f>HLOOKUP($B$124,'MH-60R Mission System Summary'!$B$1:$F$12,9,FALSE)</f>
        <v>0.8589428163897731</v>
      </c>
    </row>
    <row r="133" spans="1:2" x14ac:dyDescent="0.2">
      <c r="A133" s="600" t="s">
        <v>149</v>
      </c>
      <c r="B133" s="601">
        <f>HLOOKUP($B$124,'MH-60R Mission System Summary'!$B$1:$F$12,10,FALSE)</f>
        <v>0.32891411420612232</v>
      </c>
    </row>
    <row r="134" spans="1:2" x14ac:dyDescent="0.2">
      <c r="A134" s="600" t="s">
        <v>150</v>
      </c>
      <c r="B134" s="601">
        <f>HLOOKUP($B$124,'MH-60R Mission System Summary'!$B$1:$F$12,11,FALSE)</f>
        <v>0.17504135195923312</v>
      </c>
    </row>
    <row r="135" spans="1:2" x14ac:dyDescent="0.2">
      <c r="A135" s="600" t="s">
        <v>151</v>
      </c>
      <c r="B135" s="601">
        <f>HLOOKUP($B$124,'MH-60R Mission System Summary'!$B$1:$F$12,12,FALSE)</f>
        <v>1</v>
      </c>
    </row>
  </sheetData>
  <mergeCells count="21">
    <mergeCell ref="L4:N4"/>
    <mergeCell ref="L5:N5"/>
    <mergeCell ref="L6:N6"/>
    <mergeCell ref="L7:N7"/>
    <mergeCell ref="L9:N9"/>
    <mergeCell ref="B104:C104"/>
    <mergeCell ref="D104:E104"/>
    <mergeCell ref="F104:G104"/>
    <mergeCell ref="A1:G1"/>
    <mergeCell ref="M1:P1"/>
    <mergeCell ref="A74:N74"/>
    <mergeCell ref="A84:B84"/>
    <mergeCell ref="A85:B85"/>
    <mergeCell ref="A100:B100"/>
    <mergeCell ref="L2:O2"/>
    <mergeCell ref="L8:N8"/>
    <mergeCell ref="B16:C16"/>
    <mergeCell ref="D16:F16"/>
    <mergeCell ref="G16:I16"/>
    <mergeCell ref="K16:M16"/>
    <mergeCell ref="L3:N3"/>
  </mergeCells>
  <conditionalFormatting sqref="B35:N35">
    <cfRule type="cellIs" dxfId="134" priority="29" stopIfTrue="1" operator="equal">
      <formula>$B$2*#REF!</formula>
    </cfRule>
  </conditionalFormatting>
  <conditionalFormatting sqref="C106:C108 C119:C121">
    <cfRule type="cellIs" dxfId="133" priority="28" operator="equal">
      <formula>B106</formula>
    </cfRule>
  </conditionalFormatting>
  <conditionalFormatting sqref="D106:E108 D119:E121">
    <cfRule type="cellIs" dxfId="132" priority="27" operator="equal">
      <formula>C106</formula>
    </cfRule>
  </conditionalFormatting>
  <conditionalFormatting sqref="E106">
    <cfRule type="cellIs" dxfId="131" priority="26" operator="equal">
      <formula>D106</formula>
    </cfRule>
  </conditionalFormatting>
  <conditionalFormatting sqref="F106">
    <cfRule type="cellIs" dxfId="130" priority="25" operator="equal">
      <formula>E106</formula>
    </cfRule>
  </conditionalFormatting>
  <conditionalFormatting sqref="F107:F108 F119:F121">
    <cfRule type="cellIs" dxfId="129" priority="23" operator="equal">
      <formula>G107</formula>
    </cfRule>
    <cfRule type="cellIs" dxfId="128" priority="24" operator="equal">
      <formula>E107</formula>
    </cfRule>
  </conditionalFormatting>
  <conditionalFormatting sqref="C106:C108">
    <cfRule type="cellIs" dxfId="127" priority="22" operator="equal">
      <formula>B106</formula>
    </cfRule>
  </conditionalFormatting>
  <conditionalFormatting sqref="D106:E108">
    <cfRule type="cellIs" dxfId="126" priority="21" operator="equal">
      <formula>C106</formula>
    </cfRule>
  </conditionalFormatting>
  <conditionalFormatting sqref="E106">
    <cfRule type="cellIs" dxfId="125" priority="20" operator="equal">
      <formula>D106</formula>
    </cfRule>
  </conditionalFormatting>
  <conditionalFormatting sqref="F106">
    <cfRule type="cellIs" dxfId="124" priority="19" operator="equal">
      <formula>E106</formula>
    </cfRule>
  </conditionalFormatting>
  <conditionalFormatting sqref="F107:F108">
    <cfRule type="cellIs" dxfId="123" priority="17" operator="equal">
      <formula>G107</formula>
    </cfRule>
    <cfRule type="cellIs" dxfId="122" priority="18" operator="equal">
      <formula>E107</formula>
    </cfRule>
  </conditionalFormatting>
  <conditionalFormatting sqref="F106">
    <cfRule type="cellIs" dxfId="121" priority="16" operator="equal">
      <formula>E106</formula>
    </cfRule>
  </conditionalFormatting>
  <conditionalFormatting sqref="C106">
    <cfRule type="cellIs" dxfId="120" priority="15" operator="equal">
      <formula>B106</formula>
    </cfRule>
  </conditionalFormatting>
  <conditionalFormatting sqref="D106">
    <cfRule type="cellIs" dxfId="119" priority="14" operator="equal">
      <formula>C106</formula>
    </cfRule>
  </conditionalFormatting>
  <conditionalFormatting sqref="E106">
    <cfRule type="cellIs" dxfId="118" priority="13" operator="equal">
      <formula>D106</formula>
    </cfRule>
  </conditionalFormatting>
  <conditionalFormatting sqref="D106">
    <cfRule type="cellIs" dxfId="117" priority="12" operator="equal">
      <formula>C106</formula>
    </cfRule>
  </conditionalFormatting>
  <conditionalFormatting sqref="E106">
    <cfRule type="cellIs" dxfId="116" priority="11" operator="equal">
      <formula>D106</formula>
    </cfRule>
  </conditionalFormatting>
  <conditionalFormatting sqref="D109:E118">
    <cfRule type="cellIs" dxfId="115" priority="9" operator="equal">
      <formula>C109</formula>
    </cfRule>
  </conditionalFormatting>
  <conditionalFormatting sqref="F109:F118">
    <cfRule type="cellIs" dxfId="114" priority="7" operator="equal">
      <formula>G109</formula>
    </cfRule>
    <cfRule type="cellIs" dxfId="113" priority="8" operator="equal">
      <formula>E109</formula>
    </cfRule>
  </conditionalFormatting>
  <conditionalFormatting sqref="D109:E118">
    <cfRule type="cellIs" dxfId="112" priority="5" operator="equal">
      <formula>C109</formula>
    </cfRule>
  </conditionalFormatting>
  <conditionalFormatting sqref="F109:F118">
    <cfRule type="cellIs" dxfId="111" priority="3" operator="equal">
      <formula>G109</formula>
    </cfRule>
    <cfRule type="cellIs" dxfId="110" priority="4" operator="equal">
      <formula>E109</formula>
    </cfRule>
  </conditionalFormatting>
  <conditionalFormatting sqref="C109:C118">
    <cfRule type="cellIs" dxfId="109" priority="2" operator="equal">
      <formula>B109</formula>
    </cfRule>
  </conditionalFormatting>
  <conditionalFormatting sqref="C109:C118">
    <cfRule type="cellIs" dxfId="108" priority="1" operator="equal">
      <formula>B109</formula>
    </cfRule>
  </conditionalFormatting>
  <hyperlinks>
    <hyperlink ref="H1" location="Inventory!A1" display="Inventory" xr:uid="{00000000-0004-0000-0400-000000000000}"/>
    <hyperlink ref="I104" location="'MH-60R FDNF 7 Plane 14 Crew'!A1" display="Top" xr:uid="{00000000-0004-0000-0400-000001000000}"/>
    <hyperlink ref="H2" location="'MH-60R FDNF 7 Plane 14 Crew'!A118" display="AMFOM" xr:uid="{00000000-0004-0000-0400-000002000000}"/>
    <hyperlink ref="I105" location="Inventory!A1" display="Inventory" xr:uid="{00000000-0004-0000-0400-000003000000}"/>
  </hyperlinks>
  <pageMargins left="0.7" right="0.7" top="0.75" bottom="0.75" header="0.3" footer="0.3"/>
  <pageSetup orientation="portrait" r:id="rId1"/>
  <ignoredErrors>
    <ignoredError sqref="B55:C55 D55:N55"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X135"/>
  <sheetViews>
    <sheetView showGridLines="0" zoomScaleNormal="100" zoomScaleSheetLayoutView="100" workbookViewId="0">
      <selection activeCell="A126" sqref="A126"/>
    </sheetView>
  </sheetViews>
  <sheetFormatPr defaultRowHeight="11.25" x14ac:dyDescent="0.2"/>
  <cols>
    <col min="1" max="1" width="55" style="58" bestFit="1" customWidth="1"/>
    <col min="2" max="33" width="5.7109375" style="58" customWidth="1"/>
    <col min="34" max="248" width="9.140625" style="58"/>
    <col min="249" max="249" width="49.28515625" style="58" bestFit="1" customWidth="1"/>
    <col min="250" max="250" width="6.5703125" style="58" bestFit="1" customWidth="1"/>
    <col min="251" max="275" width="5.7109375" style="58" customWidth="1"/>
    <col min="276" max="276" width="6.5703125" style="58" bestFit="1" customWidth="1"/>
    <col min="277" max="504" width="9.140625" style="58"/>
    <col min="505" max="505" width="49.28515625" style="58" bestFit="1" customWidth="1"/>
    <col min="506" max="506" width="6.5703125" style="58" bestFit="1" customWidth="1"/>
    <col min="507" max="531" width="5.7109375" style="58" customWidth="1"/>
    <col min="532" max="532" width="6.5703125" style="58" bestFit="1" customWidth="1"/>
    <col min="533" max="760" width="9.140625" style="58"/>
    <col min="761" max="761" width="49.28515625" style="58" bestFit="1" customWidth="1"/>
    <col min="762" max="762" width="6.5703125" style="58" bestFit="1" customWidth="1"/>
    <col min="763" max="787" width="5.7109375" style="58" customWidth="1"/>
    <col min="788" max="788" width="6.5703125" style="58" bestFit="1" customWidth="1"/>
    <col min="789" max="1016" width="9.140625" style="58"/>
    <col min="1017" max="1017" width="49.28515625" style="58" bestFit="1" customWidth="1"/>
    <col min="1018" max="1018" width="6.5703125" style="58" bestFit="1" customWidth="1"/>
    <col min="1019" max="1043" width="5.7109375" style="58" customWidth="1"/>
    <col min="1044" max="1044" width="6.5703125" style="58" bestFit="1" customWidth="1"/>
    <col min="1045" max="1272" width="9.140625" style="58"/>
    <col min="1273" max="1273" width="49.28515625" style="58" bestFit="1" customWidth="1"/>
    <col min="1274" max="1274" width="6.5703125" style="58" bestFit="1" customWidth="1"/>
    <col min="1275" max="1299" width="5.7109375" style="58" customWidth="1"/>
    <col min="1300" max="1300" width="6.5703125" style="58" bestFit="1" customWidth="1"/>
    <col min="1301" max="1528" width="9.140625" style="58"/>
    <col min="1529" max="1529" width="49.28515625" style="58" bestFit="1" customWidth="1"/>
    <col min="1530" max="1530" width="6.5703125" style="58" bestFit="1" customWidth="1"/>
    <col min="1531" max="1555" width="5.7109375" style="58" customWidth="1"/>
    <col min="1556" max="1556" width="6.5703125" style="58" bestFit="1" customWidth="1"/>
    <col min="1557" max="1784" width="9.140625" style="58"/>
    <col min="1785" max="1785" width="49.28515625" style="58" bestFit="1" customWidth="1"/>
    <col min="1786" max="1786" width="6.5703125" style="58" bestFit="1" customWidth="1"/>
    <col min="1787" max="1811" width="5.7109375" style="58" customWidth="1"/>
    <col min="1812" max="1812" width="6.5703125" style="58" bestFit="1" customWidth="1"/>
    <col min="1813" max="2040" width="9.140625" style="58"/>
    <col min="2041" max="2041" width="49.28515625" style="58" bestFit="1" customWidth="1"/>
    <col min="2042" max="2042" width="6.5703125" style="58" bestFit="1" customWidth="1"/>
    <col min="2043" max="2067" width="5.7109375" style="58" customWidth="1"/>
    <col min="2068" max="2068" width="6.5703125" style="58" bestFit="1" customWidth="1"/>
    <col min="2069" max="2296" width="9.140625" style="58"/>
    <col min="2297" max="2297" width="49.28515625" style="58" bestFit="1" customWidth="1"/>
    <col min="2298" max="2298" width="6.5703125" style="58" bestFit="1" customWidth="1"/>
    <col min="2299" max="2323" width="5.7109375" style="58" customWidth="1"/>
    <col min="2324" max="2324" width="6.5703125" style="58" bestFit="1" customWidth="1"/>
    <col min="2325" max="2552" width="9.140625" style="58"/>
    <col min="2553" max="2553" width="49.28515625" style="58" bestFit="1" customWidth="1"/>
    <col min="2554" max="2554" width="6.5703125" style="58" bestFit="1" customWidth="1"/>
    <col min="2555" max="2579" width="5.7109375" style="58" customWidth="1"/>
    <col min="2580" max="2580" width="6.5703125" style="58" bestFit="1" customWidth="1"/>
    <col min="2581" max="2808" width="9.140625" style="58"/>
    <col min="2809" max="2809" width="49.28515625" style="58" bestFit="1" customWidth="1"/>
    <col min="2810" max="2810" width="6.5703125" style="58" bestFit="1" customWidth="1"/>
    <col min="2811" max="2835" width="5.7109375" style="58" customWidth="1"/>
    <col min="2836" max="2836" width="6.5703125" style="58" bestFit="1" customWidth="1"/>
    <col min="2837" max="3064" width="9.140625" style="58"/>
    <col min="3065" max="3065" width="49.28515625" style="58" bestFit="1" customWidth="1"/>
    <col min="3066" max="3066" width="6.5703125" style="58" bestFit="1" customWidth="1"/>
    <col min="3067" max="3091" width="5.7109375" style="58" customWidth="1"/>
    <col min="3092" max="3092" width="6.5703125" style="58" bestFit="1" customWidth="1"/>
    <col min="3093" max="3320" width="9.140625" style="58"/>
    <col min="3321" max="3321" width="49.28515625" style="58" bestFit="1" customWidth="1"/>
    <col min="3322" max="3322" width="6.5703125" style="58" bestFit="1" customWidth="1"/>
    <col min="3323" max="3347" width="5.7109375" style="58" customWidth="1"/>
    <col min="3348" max="3348" width="6.5703125" style="58" bestFit="1" customWidth="1"/>
    <col min="3349" max="3576" width="9.140625" style="58"/>
    <col min="3577" max="3577" width="49.28515625" style="58" bestFit="1" customWidth="1"/>
    <col min="3578" max="3578" width="6.5703125" style="58" bestFit="1" customWidth="1"/>
    <col min="3579" max="3603" width="5.7109375" style="58" customWidth="1"/>
    <col min="3604" max="3604" width="6.5703125" style="58" bestFit="1" customWidth="1"/>
    <col min="3605" max="3832" width="9.140625" style="58"/>
    <col min="3833" max="3833" width="49.28515625" style="58" bestFit="1" customWidth="1"/>
    <col min="3834" max="3834" width="6.5703125" style="58" bestFit="1" customWidth="1"/>
    <col min="3835" max="3859" width="5.7109375" style="58" customWidth="1"/>
    <col min="3860" max="3860" width="6.5703125" style="58" bestFit="1" customWidth="1"/>
    <col min="3861" max="4088" width="9.140625" style="58"/>
    <col min="4089" max="4089" width="49.28515625" style="58" bestFit="1" customWidth="1"/>
    <col min="4090" max="4090" width="6.5703125" style="58" bestFit="1" customWidth="1"/>
    <col min="4091" max="4115" width="5.7109375" style="58" customWidth="1"/>
    <col min="4116" max="4116" width="6.5703125" style="58" bestFit="1" customWidth="1"/>
    <col min="4117" max="4344" width="9.140625" style="58"/>
    <col min="4345" max="4345" width="49.28515625" style="58" bestFit="1" customWidth="1"/>
    <col min="4346" max="4346" width="6.5703125" style="58" bestFit="1" customWidth="1"/>
    <col min="4347" max="4371" width="5.7109375" style="58" customWidth="1"/>
    <col min="4372" max="4372" width="6.5703125" style="58" bestFit="1" customWidth="1"/>
    <col min="4373" max="4600" width="9.140625" style="58"/>
    <col min="4601" max="4601" width="49.28515625" style="58" bestFit="1" customWidth="1"/>
    <col min="4602" max="4602" width="6.5703125" style="58" bestFit="1" customWidth="1"/>
    <col min="4603" max="4627" width="5.7109375" style="58" customWidth="1"/>
    <col min="4628" max="4628" width="6.5703125" style="58" bestFit="1" customWidth="1"/>
    <col min="4629" max="4856" width="9.140625" style="58"/>
    <col min="4857" max="4857" width="49.28515625" style="58" bestFit="1" customWidth="1"/>
    <col min="4858" max="4858" width="6.5703125" style="58" bestFit="1" customWidth="1"/>
    <col min="4859" max="4883" width="5.7109375" style="58" customWidth="1"/>
    <col min="4884" max="4884" width="6.5703125" style="58" bestFit="1" customWidth="1"/>
    <col min="4885" max="5112" width="9.140625" style="58"/>
    <col min="5113" max="5113" width="49.28515625" style="58" bestFit="1" customWidth="1"/>
    <col min="5114" max="5114" width="6.5703125" style="58" bestFit="1" customWidth="1"/>
    <col min="5115" max="5139" width="5.7109375" style="58" customWidth="1"/>
    <col min="5140" max="5140" width="6.5703125" style="58" bestFit="1" customWidth="1"/>
    <col min="5141" max="5368" width="9.140625" style="58"/>
    <col min="5369" max="5369" width="49.28515625" style="58" bestFit="1" customWidth="1"/>
    <col min="5370" max="5370" width="6.5703125" style="58" bestFit="1" customWidth="1"/>
    <col min="5371" max="5395" width="5.7109375" style="58" customWidth="1"/>
    <col min="5396" max="5396" width="6.5703125" style="58" bestFit="1" customWidth="1"/>
    <col min="5397" max="5624" width="9.140625" style="58"/>
    <col min="5625" max="5625" width="49.28515625" style="58" bestFit="1" customWidth="1"/>
    <col min="5626" max="5626" width="6.5703125" style="58" bestFit="1" customWidth="1"/>
    <col min="5627" max="5651" width="5.7109375" style="58" customWidth="1"/>
    <col min="5652" max="5652" width="6.5703125" style="58" bestFit="1" customWidth="1"/>
    <col min="5653" max="5880" width="9.140625" style="58"/>
    <col min="5881" max="5881" width="49.28515625" style="58" bestFit="1" customWidth="1"/>
    <col min="5882" max="5882" width="6.5703125" style="58" bestFit="1" customWidth="1"/>
    <col min="5883" max="5907" width="5.7109375" style="58" customWidth="1"/>
    <col min="5908" max="5908" width="6.5703125" style="58" bestFit="1" customWidth="1"/>
    <col min="5909" max="6136" width="9.140625" style="58"/>
    <col min="6137" max="6137" width="49.28515625" style="58" bestFit="1" customWidth="1"/>
    <col min="6138" max="6138" width="6.5703125" style="58" bestFit="1" customWidth="1"/>
    <col min="6139" max="6163" width="5.7109375" style="58" customWidth="1"/>
    <col min="6164" max="6164" width="6.5703125" style="58" bestFit="1" customWidth="1"/>
    <col min="6165" max="6392" width="9.140625" style="58"/>
    <col min="6393" max="6393" width="49.28515625" style="58" bestFit="1" customWidth="1"/>
    <col min="6394" max="6394" width="6.5703125" style="58" bestFit="1" customWidth="1"/>
    <col min="6395" max="6419" width="5.7109375" style="58" customWidth="1"/>
    <col min="6420" max="6420" width="6.5703125" style="58" bestFit="1" customWidth="1"/>
    <col min="6421" max="6648" width="9.140625" style="58"/>
    <col min="6649" max="6649" width="49.28515625" style="58" bestFit="1" customWidth="1"/>
    <col min="6650" max="6650" width="6.5703125" style="58" bestFit="1" customWidth="1"/>
    <col min="6651" max="6675" width="5.7109375" style="58" customWidth="1"/>
    <col min="6676" max="6676" width="6.5703125" style="58" bestFit="1" customWidth="1"/>
    <col min="6677" max="6904" width="9.140625" style="58"/>
    <col min="6905" max="6905" width="49.28515625" style="58" bestFit="1" customWidth="1"/>
    <col min="6906" max="6906" width="6.5703125" style="58" bestFit="1" customWidth="1"/>
    <col min="6907" max="6931" width="5.7109375" style="58" customWidth="1"/>
    <col min="6932" max="6932" width="6.5703125" style="58" bestFit="1" customWidth="1"/>
    <col min="6933" max="7160" width="9.140625" style="58"/>
    <col min="7161" max="7161" width="49.28515625" style="58" bestFit="1" customWidth="1"/>
    <col min="7162" max="7162" width="6.5703125" style="58" bestFit="1" customWidth="1"/>
    <col min="7163" max="7187" width="5.7109375" style="58" customWidth="1"/>
    <col min="7188" max="7188" width="6.5703125" style="58" bestFit="1" customWidth="1"/>
    <col min="7189" max="7416" width="9.140625" style="58"/>
    <col min="7417" max="7417" width="49.28515625" style="58" bestFit="1" customWidth="1"/>
    <col min="7418" max="7418" width="6.5703125" style="58" bestFit="1" customWidth="1"/>
    <col min="7419" max="7443" width="5.7109375" style="58" customWidth="1"/>
    <col min="7444" max="7444" width="6.5703125" style="58" bestFit="1" customWidth="1"/>
    <col min="7445" max="7672" width="9.140625" style="58"/>
    <col min="7673" max="7673" width="49.28515625" style="58" bestFit="1" customWidth="1"/>
    <col min="7674" max="7674" width="6.5703125" style="58" bestFit="1" customWidth="1"/>
    <col min="7675" max="7699" width="5.7109375" style="58" customWidth="1"/>
    <col min="7700" max="7700" width="6.5703125" style="58" bestFit="1" customWidth="1"/>
    <col min="7701" max="7928" width="9.140625" style="58"/>
    <col min="7929" max="7929" width="49.28515625" style="58" bestFit="1" customWidth="1"/>
    <col min="7930" max="7930" width="6.5703125" style="58" bestFit="1" customWidth="1"/>
    <col min="7931" max="7955" width="5.7109375" style="58" customWidth="1"/>
    <col min="7956" max="7956" width="6.5703125" style="58" bestFit="1" customWidth="1"/>
    <col min="7957" max="8184" width="9.140625" style="58"/>
    <col min="8185" max="8185" width="49.28515625" style="58" bestFit="1" customWidth="1"/>
    <col min="8186" max="8186" width="6.5703125" style="58" bestFit="1" customWidth="1"/>
    <col min="8187" max="8211" width="5.7109375" style="58" customWidth="1"/>
    <col min="8212" max="8212" width="6.5703125" style="58" bestFit="1" customWidth="1"/>
    <col min="8213" max="8440" width="9.140625" style="58"/>
    <col min="8441" max="8441" width="49.28515625" style="58" bestFit="1" customWidth="1"/>
    <col min="8442" max="8442" width="6.5703125" style="58" bestFit="1" customWidth="1"/>
    <col min="8443" max="8467" width="5.7109375" style="58" customWidth="1"/>
    <col min="8468" max="8468" width="6.5703125" style="58" bestFit="1" customWidth="1"/>
    <col min="8469" max="8696" width="9.140625" style="58"/>
    <col min="8697" max="8697" width="49.28515625" style="58" bestFit="1" customWidth="1"/>
    <col min="8698" max="8698" width="6.5703125" style="58" bestFit="1" customWidth="1"/>
    <col min="8699" max="8723" width="5.7109375" style="58" customWidth="1"/>
    <col min="8724" max="8724" width="6.5703125" style="58" bestFit="1" customWidth="1"/>
    <col min="8725" max="8952" width="9.140625" style="58"/>
    <col min="8953" max="8953" width="49.28515625" style="58" bestFit="1" customWidth="1"/>
    <col min="8954" max="8954" width="6.5703125" style="58" bestFit="1" customWidth="1"/>
    <col min="8955" max="8979" width="5.7109375" style="58" customWidth="1"/>
    <col min="8980" max="8980" width="6.5703125" style="58" bestFit="1" customWidth="1"/>
    <col min="8981" max="9208" width="9.140625" style="58"/>
    <col min="9209" max="9209" width="49.28515625" style="58" bestFit="1" customWidth="1"/>
    <col min="9210" max="9210" width="6.5703125" style="58" bestFit="1" customWidth="1"/>
    <col min="9211" max="9235" width="5.7109375" style="58" customWidth="1"/>
    <col min="9236" max="9236" width="6.5703125" style="58" bestFit="1" customWidth="1"/>
    <col min="9237" max="9464" width="9.140625" style="58"/>
    <col min="9465" max="9465" width="49.28515625" style="58" bestFit="1" customWidth="1"/>
    <col min="9466" max="9466" width="6.5703125" style="58" bestFit="1" customWidth="1"/>
    <col min="9467" max="9491" width="5.7109375" style="58" customWidth="1"/>
    <col min="9492" max="9492" width="6.5703125" style="58" bestFit="1" customWidth="1"/>
    <col min="9493" max="9720" width="9.140625" style="58"/>
    <col min="9721" max="9721" width="49.28515625" style="58" bestFit="1" customWidth="1"/>
    <col min="9722" max="9722" width="6.5703125" style="58" bestFit="1" customWidth="1"/>
    <col min="9723" max="9747" width="5.7109375" style="58" customWidth="1"/>
    <col min="9748" max="9748" width="6.5703125" style="58" bestFit="1" customWidth="1"/>
    <col min="9749" max="9976" width="9.140625" style="58"/>
    <col min="9977" max="9977" width="49.28515625" style="58" bestFit="1" customWidth="1"/>
    <col min="9978" max="9978" width="6.5703125" style="58" bestFit="1" customWidth="1"/>
    <col min="9979" max="10003" width="5.7109375" style="58" customWidth="1"/>
    <col min="10004" max="10004" width="6.5703125" style="58" bestFit="1" customWidth="1"/>
    <col min="10005" max="10232" width="9.140625" style="58"/>
    <col min="10233" max="10233" width="49.28515625" style="58" bestFit="1" customWidth="1"/>
    <col min="10234" max="10234" width="6.5703125" style="58" bestFit="1" customWidth="1"/>
    <col min="10235" max="10259" width="5.7109375" style="58" customWidth="1"/>
    <col min="10260" max="10260" width="6.5703125" style="58" bestFit="1" customWidth="1"/>
    <col min="10261" max="10488" width="9.140625" style="58"/>
    <col min="10489" max="10489" width="49.28515625" style="58" bestFit="1" customWidth="1"/>
    <col min="10490" max="10490" width="6.5703125" style="58" bestFit="1" customWidth="1"/>
    <col min="10491" max="10515" width="5.7109375" style="58" customWidth="1"/>
    <col min="10516" max="10516" width="6.5703125" style="58" bestFit="1" customWidth="1"/>
    <col min="10517" max="10744" width="9.140625" style="58"/>
    <col min="10745" max="10745" width="49.28515625" style="58" bestFit="1" customWidth="1"/>
    <col min="10746" max="10746" width="6.5703125" style="58" bestFit="1" customWidth="1"/>
    <col min="10747" max="10771" width="5.7109375" style="58" customWidth="1"/>
    <col min="10772" max="10772" width="6.5703125" style="58" bestFit="1" customWidth="1"/>
    <col min="10773" max="11000" width="9.140625" style="58"/>
    <col min="11001" max="11001" width="49.28515625" style="58" bestFit="1" customWidth="1"/>
    <col min="11002" max="11002" width="6.5703125" style="58" bestFit="1" customWidth="1"/>
    <col min="11003" max="11027" width="5.7109375" style="58" customWidth="1"/>
    <col min="11028" max="11028" width="6.5703125" style="58" bestFit="1" customWidth="1"/>
    <col min="11029" max="11256" width="9.140625" style="58"/>
    <col min="11257" max="11257" width="49.28515625" style="58" bestFit="1" customWidth="1"/>
    <col min="11258" max="11258" width="6.5703125" style="58" bestFit="1" customWidth="1"/>
    <col min="11259" max="11283" width="5.7109375" style="58" customWidth="1"/>
    <col min="11284" max="11284" width="6.5703125" style="58" bestFit="1" customWidth="1"/>
    <col min="11285" max="11512" width="9.140625" style="58"/>
    <col min="11513" max="11513" width="49.28515625" style="58" bestFit="1" customWidth="1"/>
    <col min="11514" max="11514" width="6.5703125" style="58" bestFit="1" customWidth="1"/>
    <col min="11515" max="11539" width="5.7109375" style="58" customWidth="1"/>
    <col min="11540" max="11540" width="6.5703125" style="58" bestFit="1" customWidth="1"/>
    <col min="11541" max="11768" width="9.140625" style="58"/>
    <col min="11769" max="11769" width="49.28515625" style="58" bestFit="1" customWidth="1"/>
    <col min="11770" max="11770" width="6.5703125" style="58" bestFit="1" customWidth="1"/>
    <col min="11771" max="11795" width="5.7109375" style="58" customWidth="1"/>
    <col min="11796" max="11796" width="6.5703125" style="58" bestFit="1" customWidth="1"/>
    <col min="11797" max="12024" width="9.140625" style="58"/>
    <col min="12025" max="12025" width="49.28515625" style="58" bestFit="1" customWidth="1"/>
    <col min="12026" max="12026" width="6.5703125" style="58" bestFit="1" customWidth="1"/>
    <col min="12027" max="12051" width="5.7109375" style="58" customWidth="1"/>
    <col min="12052" max="12052" width="6.5703125" style="58" bestFit="1" customWidth="1"/>
    <col min="12053" max="12280" width="9.140625" style="58"/>
    <col min="12281" max="12281" width="49.28515625" style="58" bestFit="1" customWidth="1"/>
    <col min="12282" max="12282" width="6.5703125" style="58" bestFit="1" customWidth="1"/>
    <col min="12283" max="12307" width="5.7109375" style="58" customWidth="1"/>
    <col min="12308" max="12308" width="6.5703125" style="58" bestFit="1" customWidth="1"/>
    <col min="12309" max="12536" width="9.140625" style="58"/>
    <col min="12537" max="12537" width="49.28515625" style="58" bestFit="1" customWidth="1"/>
    <col min="12538" max="12538" width="6.5703125" style="58" bestFit="1" customWidth="1"/>
    <col min="12539" max="12563" width="5.7109375" style="58" customWidth="1"/>
    <col min="12564" max="12564" width="6.5703125" style="58" bestFit="1" customWidth="1"/>
    <col min="12565" max="12792" width="9.140625" style="58"/>
    <col min="12793" max="12793" width="49.28515625" style="58" bestFit="1" customWidth="1"/>
    <col min="12794" max="12794" width="6.5703125" style="58" bestFit="1" customWidth="1"/>
    <col min="12795" max="12819" width="5.7109375" style="58" customWidth="1"/>
    <col min="12820" max="12820" width="6.5703125" style="58" bestFit="1" customWidth="1"/>
    <col min="12821" max="13048" width="9.140625" style="58"/>
    <col min="13049" max="13049" width="49.28515625" style="58" bestFit="1" customWidth="1"/>
    <col min="13050" max="13050" width="6.5703125" style="58" bestFit="1" customWidth="1"/>
    <col min="13051" max="13075" width="5.7109375" style="58" customWidth="1"/>
    <col min="13076" max="13076" width="6.5703125" style="58" bestFit="1" customWidth="1"/>
    <col min="13077" max="13304" width="9.140625" style="58"/>
    <col min="13305" max="13305" width="49.28515625" style="58" bestFit="1" customWidth="1"/>
    <col min="13306" max="13306" width="6.5703125" style="58" bestFit="1" customWidth="1"/>
    <col min="13307" max="13331" width="5.7109375" style="58" customWidth="1"/>
    <col min="13332" max="13332" width="6.5703125" style="58" bestFit="1" customWidth="1"/>
    <col min="13333" max="13560" width="9.140625" style="58"/>
    <col min="13561" max="13561" width="49.28515625" style="58" bestFit="1" customWidth="1"/>
    <col min="13562" max="13562" width="6.5703125" style="58" bestFit="1" customWidth="1"/>
    <col min="13563" max="13587" width="5.7109375" style="58" customWidth="1"/>
    <col min="13588" max="13588" width="6.5703125" style="58" bestFit="1" customWidth="1"/>
    <col min="13589" max="13816" width="9.140625" style="58"/>
    <col min="13817" max="13817" width="49.28515625" style="58" bestFit="1" customWidth="1"/>
    <col min="13818" max="13818" width="6.5703125" style="58" bestFit="1" customWidth="1"/>
    <col min="13819" max="13843" width="5.7109375" style="58" customWidth="1"/>
    <col min="13844" max="13844" width="6.5703125" style="58" bestFit="1" customWidth="1"/>
    <col min="13845" max="14072" width="9.140625" style="58"/>
    <col min="14073" max="14073" width="49.28515625" style="58" bestFit="1" customWidth="1"/>
    <col min="14074" max="14074" width="6.5703125" style="58" bestFit="1" customWidth="1"/>
    <col min="14075" max="14099" width="5.7109375" style="58" customWidth="1"/>
    <col min="14100" max="14100" width="6.5703125" style="58" bestFit="1" customWidth="1"/>
    <col min="14101" max="14328" width="9.140625" style="58"/>
    <col min="14329" max="14329" width="49.28515625" style="58" bestFit="1" customWidth="1"/>
    <col min="14330" max="14330" width="6.5703125" style="58" bestFit="1" customWidth="1"/>
    <col min="14331" max="14355" width="5.7109375" style="58" customWidth="1"/>
    <col min="14356" max="14356" width="6.5703125" style="58" bestFit="1" customWidth="1"/>
    <col min="14357" max="14584" width="9.140625" style="58"/>
    <col min="14585" max="14585" width="49.28515625" style="58" bestFit="1" customWidth="1"/>
    <col min="14586" max="14586" width="6.5703125" style="58" bestFit="1" customWidth="1"/>
    <col min="14587" max="14611" width="5.7109375" style="58" customWidth="1"/>
    <col min="14612" max="14612" width="6.5703125" style="58" bestFit="1" customWidth="1"/>
    <col min="14613" max="14840" width="9.140625" style="58"/>
    <col min="14841" max="14841" width="49.28515625" style="58" bestFit="1" customWidth="1"/>
    <col min="14842" max="14842" width="6.5703125" style="58" bestFit="1" customWidth="1"/>
    <col min="14843" max="14867" width="5.7109375" style="58" customWidth="1"/>
    <col min="14868" max="14868" width="6.5703125" style="58" bestFit="1" customWidth="1"/>
    <col min="14869" max="15096" width="9.140625" style="58"/>
    <col min="15097" max="15097" width="49.28515625" style="58" bestFit="1" customWidth="1"/>
    <col min="15098" max="15098" width="6.5703125" style="58" bestFit="1" customWidth="1"/>
    <col min="15099" max="15123" width="5.7109375" style="58" customWidth="1"/>
    <col min="15124" max="15124" width="6.5703125" style="58" bestFit="1" customWidth="1"/>
    <col min="15125" max="15352" width="9.140625" style="58"/>
    <col min="15353" max="15353" width="49.28515625" style="58" bestFit="1" customWidth="1"/>
    <col min="15354" max="15354" width="6.5703125" style="58" bestFit="1" customWidth="1"/>
    <col min="15355" max="15379" width="5.7109375" style="58" customWidth="1"/>
    <col min="15380" max="15380" width="6.5703125" style="58" bestFit="1" customWidth="1"/>
    <col min="15381" max="15608" width="9.140625" style="58"/>
    <col min="15609" max="15609" width="49.28515625" style="58" bestFit="1" customWidth="1"/>
    <col min="15610" max="15610" width="6.5703125" style="58" bestFit="1" customWidth="1"/>
    <col min="15611" max="15635" width="5.7109375" style="58" customWidth="1"/>
    <col min="15636" max="15636" width="6.5703125" style="58" bestFit="1" customWidth="1"/>
    <col min="15637" max="15864" width="9.140625" style="58"/>
    <col min="15865" max="15865" width="49.28515625" style="58" bestFit="1" customWidth="1"/>
    <col min="15866" max="15866" width="6.5703125" style="58" bestFit="1" customWidth="1"/>
    <col min="15867" max="15891" width="5.7109375" style="58" customWidth="1"/>
    <col min="15892" max="15892" width="6.5703125" style="58" bestFit="1" customWidth="1"/>
    <col min="15893" max="16120" width="9.140625" style="58"/>
    <col min="16121" max="16121" width="49.28515625" style="58" bestFit="1" customWidth="1"/>
    <col min="16122" max="16122" width="6.5703125" style="58" bestFit="1" customWidth="1"/>
    <col min="16123" max="16147" width="5.7109375" style="58" customWidth="1"/>
    <col min="16148" max="16148" width="6.5703125" style="58" bestFit="1" customWidth="1"/>
    <col min="16149" max="16384" width="9.140625" style="58"/>
  </cols>
  <sheetData>
    <row r="1" spans="1:31" s="223" customFormat="1" ht="18.75" x14ac:dyDescent="0.3">
      <c r="A1" s="755" t="s">
        <v>205</v>
      </c>
      <c r="B1" s="755"/>
      <c r="C1" s="755"/>
      <c r="D1" s="755"/>
      <c r="E1" s="755"/>
      <c r="F1" s="755"/>
      <c r="G1" s="225"/>
      <c r="H1" s="224" t="s">
        <v>44</v>
      </c>
      <c r="L1" s="147" t="s">
        <v>45</v>
      </c>
      <c r="M1" s="728">
        <v>44835</v>
      </c>
      <c r="N1" s="729"/>
      <c r="O1" s="730"/>
      <c r="P1" s="730"/>
      <c r="AC1" s="371" t="s">
        <v>46</v>
      </c>
      <c r="AD1" s="760">
        <v>6.04</v>
      </c>
      <c r="AE1" s="760"/>
    </row>
    <row r="2" spans="1:31" ht="12.75" x14ac:dyDescent="0.2">
      <c r="A2" s="215" t="s">
        <v>47</v>
      </c>
      <c r="B2" s="2">
        <v>1</v>
      </c>
      <c r="C2" s="3"/>
      <c r="D2" s="3"/>
      <c r="H2" s="325" t="s">
        <v>3</v>
      </c>
      <c r="L2" s="742" t="s">
        <v>48</v>
      </c>
      <c r="M2" s="743"/>
      <c r="N2" s="743"/>
      <c r="O2" s="744"/>
    </row>
    <row r="3" spans="1:31" x14ac:dyDescent="0.2">
      <c r="A3" s="215" t="s">
        <v>49</v>
      </c>
      <c r="B3" s="102">
        <f>B4/B2</f>
        <v>2</v>
      </c>
      <c r="L3" s="721" t="s">
        <v>50</v>
      </c>
      <c r="M3" s="722"/>
      <c r="N3" s="723"/>
      <c r="O3" s="486">
        <v>0.2</v>
      </c>
    </row>
    <row r="4" spans="1:31" x14ac:dyDescent="0.2">
      <c r="A4" s="215" t="s">
        <v>51</v>
      </c>
      <c r="B4" s="3">
        <v>2</v>
      </c>
      <c r="C4" s="3"/>
      <c r="L4" s="749" t="s">
        <v>52</v>
      </c>
      <c r="M4" s="749"/>
      <c r="N4" s="749"/>
      <c r="O4" s="486">
        <v>0.4</v>
      </c>
    </row>
    <row r="5" spans="1:31" x14ac:dyDescent="0.2">
      <c r="A5" s="215" t="s">
        <v>53</v>
      </c>
      <c r="B5" s="3">
        <v>2</v>
      </c>
      <c r="C5" s="8"/>
      <c r="D5" s="3"/>
      <c r="E5" s="3"/>
      <c r="F5" s="10"/>
      <c r="G5" s="10"/>
      <c r="L5" s="750" t="s">
        <v>54</v>
      </c>
      <c r="M5" s="750"/>
      <c r="N5" s="750"/>
      <c r="O5" s="487">
        <v>0.55000000000000004</v>
      </c>
    </row>
    <row r="6" spans="1:31" s="220" customFormat="1" x14ac:dyDescent="0.2">
      <c r="A6" s="221" t="s">
        <v>55</v>
      </c>
      <c r="B6" s="3">
        <v>27.4</v>
      </c>
      <c r="C6" s="58"/>
      <c r="D6" s="3"/>
      <c r="E6" s="3"/>
      <c r="F6" s="10"/>
      <c r="G6" s="10"/>
      <c r="L6" s="749" t="s">
        <v>56</v>
      </c>
      <c r="M6" s="749"/>
      <c r="N6" s="749"/>
      <c r="O6" s="486">
        <v>0.55000000000000004</v>
      </c>
    </row>
    <row r="7" spans="1:31" x14ac:dyDescent="0.2">
      <c r="A7" s="215" t="s">
        <v>57</v>
      </c>
      <c r="B7" s="148">
        <f>B6*B4</f>
        <v>54.8</v>
      </c>
      <c r="C7" s="220"/>
      <c r="D7" s="217"/>
      <c r="E7" s="219"/>
      <c r="F7" s="218"/>
      <c r="G7" s="218"/>
      <c r="L7" s="751" t="s">
        <v>58</v>
      </c>
      <c r="M7" s="752"/>
      <c r="N7" s="753"/>
      <c r="O7" s="486">
        <v>0.6</v>
      </c>
    </row>
    <row r="8" spans="1:31" x14ac:dyDescent="0.2">
      <c r="A8" s="215" t="s">
        <v>59</v>
      </c>
      <c r="B8" s="3">
        <f>B7/B5</f>
        <v>27.4</v>
      </c>
      <c r="C8" s="3"/>
      <c r="D8" s="217"/>
      <c r="E8" s="3"/>
      <c r="F8" s="3"/>
      <c r="G8" s="10"/>
      <c r="H8" s="216"/>
      <c r="L8" s="721" t="s">
        <v>61</v>
      </c>
      <c r="M8" s="722"/>
      <c r="N8" s="723"/>
      <c r="O8" s="486">
        <v>0.75</v>
      </c>
    </row>
    <row r="9" spans="1:31" x14ac:dyDescent="0.2">
      <c r="A9" s="215" t="s">
        <v>62</v>
      </c>
      <c r="B9" s="3">
        <f>C9*$B$4</f>
        <v>2</v>
      </c>
      <c r="C9" s="3">
        <v>1</v>
      </c>
      <c r="D9" s="5" t="s">
        <v>60</v>
      </c>
      <c r="F9" s="7"/>
      <c r="G9" s="102" t="s">
        <v>63</v>
      </c>
      <c r="H9" s="103">
        <v>0.4</v>
      </c>
      <c r="I9" s="189"/>
      <c r="J9" s="189"/>
      <c r="K9" s="276"/>
      <c r="L9" s="754" t="s">
        <v>64</v>
      </c>
      <c r="M9" s="754"/>
      <c r="N9" s="754"/>
      <c r="O9" s="43"/>
    </row>
    <row r="10" spans="1:31" x14ac:dyDescent="0.2">
      <c r="A10" s="215" t="s">
        <v>65</v>
      </c>
      <c r="B10" s="3">
        <f>C10*$B$4</f>
        <v>29.52</v>
      </c>
      <c r="C10" s="136">
        <v>14.76</v>
      </c>
      <c r="D10" s="5" t="s">
        <v>60</v>
      </c>
      <c r="F10" s="7"/>
      <c r="G10" s="104" t="s">
        <v>66</v>
      </c>
      <c r="H10" s="103">
        <v>0.28699999999999998</v>
      </c>
      <c r="I10" s="214"/>
      <c r="J10" s="189"/>
      <c r="K10" s="213"/>
      <c r="L10" s="4"/>
      <c r="M10" s="4"/>
      <c r="N10" s="3"/>
    </row>
    <row r="11" spans="1:31" s="204" customFormat="1" ht="12" thickBot="1" x14ac:dyDescent="0.25">
      <c r="A11" s="215" t="s">
        <v>67</v>
      </c>
      <c r="B11" s="5">
        <f>C11*B4</f>
        <v>7.2</v>
      </c>
      <c r="C11" s="6">
        <v>3.6</v>
      </c>
      <c r="D11" s="12" t="s">
        <v>60</v>
      </c>
      <c r="E11" s="210"/>
      <c r="F11" s="209"/>
      <c r="G11" s="209"/>
      <c r="H11" s="209"/>
      <c r="I11" s="208"/>
      <c r="J11" s="208"/>
      <c r="K11" s="208"/>
      <c r="L11" s="208"/>
      <c r="M11" s="208"/>
      <c r="N11" s="208"/>
    </row>
    <row r="12" spans="1:31" s="204" customFormat="1" ht="12" thickBot="1" x14ac:dyDescent="0.25">
      <c r="A12" s="149"/>
      <c r="B12" s="212"/>
      <c r="C12" s="211"/>
      <c r="D12" s="398"/>
      <c r="E12" s="399"/>
      <c r="F12" s="209"/>
      <c r="G12" s="209"/>
      <c r="H12" s="209"/>
      <c r="I12" s="208"/>
      <c r="J12" s="208"/>
      <c r="K12" s="208"/>
      <c r="L12" s="208"/>
      <c r="M12" s="208"/>
      <c r="N12" s="208"/>
      <c r="O12" s="761" t="s">
        <v>68</v>
      </c>
      <c r="P12" s="762"/>
      <c r="Q12" s="762"/>
      <c r="R12" s="762"/>
      <c r="S12" s="762"/>
      <c r="T12" s="763"/>
    </row>
    <row r="13" spans="1:31" s="204" customFormat="1" ht="59.25" x14ac:dyDescent="0.2">
      <c r="A13" s="488" t="s">
        <v>69</v>
      </c>
      <c r="B13" s="631" t="s">
        <v>52</v>
      </c>
      <c r="C13" s="631" t="s">
        <v>50</v>
      </c>
      <c r="D13" s="397" t="s">
        <v>56</v>
      </c>
      <c r="E13" s="397" t="s">
        <v>56</v>
      </c>
      <c r="F13" s="631" t="s">
        <v>58</v>
      </c>
      <c r="G13" s="631" t="s">
        <v>61</v>
      </c>
      <c r="H13" s="631" t="s">
        <v>61</v>
      </c>
      <c r="I13" s="631" t="s">
        <v>58</v>
      </c>
      <c r="J13" s="631" t="s">
        <v>61</v>
      </c>
      <c r="K13" s="631" t="s">
        <v>61</v>
      </c>
      <c r="L13" s="631" t="s">
        <v>61</v>
      </c>
      <c r="M13" s="631" t="s">
        <v>50</v>
      </c>
      <c r="N13" s="632" t="s">
        <v>50</v>
      </c>
      <c r="O13" s="207" t="s">
        <v>52</v>
      </c>
      <c r="P13" s="206" t="s">
        <v>50</v>
      </c>
      <c r="Q13" s="206" t="s">
        <v>56</v>
      </c>
      <c r="R13" s="206" t="s">
        <v>56</v>
      </c>
      <c r="S13" s="206" t="s">
        <v>58</v>
      </c>
      <c r="T13" s="205" t="s">
        <v>58</v>
      </c>
      <c r="U13" s="492" t="s">
        <v>70</v>
      </c>
    </row>
    <row r="14" spans="1:31" ht="12" x14ac:dyDescent="0.2">
      <c r="A14" s="488" t="s">
        <v>71</v>
      </c>
      <c r="B14" s="633" t="s">
        <v>79</v>
      </c>
      <c r="C14" s="633" t="s">
        <v>75</v>
      </c>
      <c r="D14" s="633" t="s">
        <v>81</v>
      </c>
      <c r="E14" s="633" t="s">
        <v>82</v>
      </c>
      <c r="F14" s="633" t="s">
        <v>95</v>
      </c>
      <c r="G14" s="633" t="s">
        <v>88</v>
      </c>
      <c r="H14" s="633" t="s">
        <v>89</v>
      </c>
      <c r="I14" s="633" t="s">
        <v>98</v>
      </c>
      <c r="J14" s="633" t="s">
        <v>90</v>
      </c>
      <c r="K14" s="633" t="s">
        <v>91</v>
      </c>
      <c r="L14" s="633" t="s">
        <v>92</v>
      </c>
      <c r="M14" s="633" t="s">
        <v>72</v>
      </c>
      <c r="N14" s="634" t="s">
        <v>73</v>
      </c>
      <c r="O14" s="635" t="s">
        <v>101</v>
      </c>
      <c r="P14" s="608" t="s">
        <v>206</v>
      </c>
      <c r="Q14" s="608" t="s">
        <v>103</v>
      </c>
      <c r="R14" s="608" t="s">
        <v>104</v>
      </c>
      <c r="S14" s="608" t="s">
        <v>207</v>
      </c>
      <c r="T14" s="636" t="s">
        <v>208</v>
      </c>
      <c r="U14" s="497" t="s">
        <v>113</v>
      </c>
    </row>
    <row r="15" spans="1:31" ht="12" x14ac:dyDescent="0.2">
      <c r="A15" s="488" t="s">
        <v>114</v>
      </c>
      <c r="B15" s="608">
        <v>8</v>
      </c>
      <c r="C15" s="608">
        <v>4</v>
      </c>
      <c r="D15" s="608">
        <v>10</v>
      </c>
      <c r="E15" s="608">
        <v>11</v>
      </c>
      <c r="F15" s="608">
        <v>24</v>
      </c>
      <c r="G15" s="608">
        <v>17</v>
      </c>
      <c r="H15" s="633">
        <v>18</v>
      </c>
      <c r="I15" s="633">
        <v>27</v>
      </c>
      <c r="J15" s="633">
        <v>19</v>
      </c>
      <c r="K15" s="633">
        <v>20</v>
      </c>
      <c r="L15" s="633">
        <v>21</v>
      </c>
      <c r="M15" s="633">
        <v>1</v>
      </c>
      <c r="N15" s="634">
        <v>2</v>
      </c>
      <c r="O15" s="637">
        <v>28</v>
      </c>
      <c r="P15" s="634">
        <v>29</v>
      </c>
      <c r="Q15" s="633">
        <v>30</v>
      </c>
      <c r="R15" s="634">
        <v>31</v>
      </c>
      <c r="S15" s="633">
        <v>32</v>
      </c>
      <c r="T15" s="638">
        <v>33</v>
      </c>
      <c r="U15" s="497">
        <v>30</v>
      </c>
    </row>
    <row r="16" spans="1:31" ht="12" x14ac:dyDescent="0.2">
      <c r="A16" s="488" t="s">
        <v>115</v>
      </c>
      <c r="B16" s="639"/>
      <c r="C16" s="764" t="s">
        <v>116</v>
      </c>
      <c r="D16" s="765"/>
      <c r="E16" s="640"/>
      <c r="F16" s="640"/>
      <c r="G16" s="764" t="s">
        <v>209</v>
      </c>
      <c r="H16" s="765"/>
      <c r="I16" s="640"/>
      <c r="J16" s="764" t="s">
        <v>209</v>
      </c>
      <c r="K16" s="766"/>
      <c r="L16" s="765"/>
      <c r="M16" s="764" t="s">
        <v>116</v>
      </c>
      <c r="N16" s="766"/>
      <c r="O16" s="203"/>
      <c r="P16" s="641"/>
      <c r="Q16" s="641"/>
      <c r="R16" s="641"/>
      <c r="S16" s="641"/>
      <c r="T16" s="642"/>
      <c r="U16" s="497" t="s">
        <v>118</v>
      </c>
      <c r="V16" s="276"/>
    </row>
    <row r="17" spans="1:28" ht="12.75" x14ac:dyDescent="0.2">
      <c r="A17" s="51" t="s">
        <v>119</v>
      </c>
      <c r="B17" s="643"/>
      <c r="C17" s="643"/>
      <c r="D17" s="643"/>
      <c r="E17" s="643"/>
      <c r="F17" s="643"/>
      <c r="G17" s="643"/>
      <c r="H17" s="643"/>
      <c r="I17" s="643"/>
      <c r="J17" s="643"/>
      <c r="K17" s="643"/>
      <c r="L17" s="643"/>
      <c r="M17" s="643"/>
      <c r="N17" s="643"/>
      <c r="O17" s="202"/>
      <c r="P17" s="643"/>
      <c r="Q17" s="643"/>
      <c r="R17" s="643"/>
      <c r="S17" s="643"/>
      <c r="T17" s="644"/>
      <c r="U17" s="645"/>
      <c r="V17" s="185"/>
      <c r="W17" s="11"/>
      <c r="X17" s="11"/>
      <c r="Y17" s="11"/>
      <c r="Z17" s="185"/>
      <c r="AA17" s="190"/>
      <c r="AB17" s="65"/>
    </row>
    <row r="18" spans="1:28" ht="12" x14ac:dyDescent="0.2">
      <c r="A18" s="501" t="s">
        <v>120</v>
      </c>
      <c r="B18" s="617">
        <f t="shared" ref="B18:T18" si="0">MIN(B77,80)</f>
        <v>20</v>
      </c>
      <c r="C18" s="617">
        <f t="shared" si="0"/>
        <v>5</v>
      </c>
      <c r="D18" s="617">
        <f t="shared" si="0"/>
        <v>60</v>
      </c>
      <c r="E18" s="617">
        <f t="shared" si="0"/>
        <v>70</v>
      </c>
      <c r="F18" s="617">
        <f t="shared" si="0"/>
        <v>80</v>
      </c>
      <c r="G18" s="617">
        <f t="shared" si="0"/>
        <v>80</v>
      </c>
      <c r="H18" s="617">
        <f t="shared" si="0"/>
        <v>80</v>
      </c>
      <c r="I18" s="617">
        <f t="shared" si="0"/>
        <v>80</v>
      </c>
      <c r="J18" s="617">
        <f t="shared" si="0"/>
        <v>80</v>
      </c>
      <c r="K18" s="617">
        <f t="shared" si="0"/>
        <v>80</v>
      </c>
      <c r="L18" s="617">
        <f t="shared" si="0"/>
        <v>80</v>
      </c>
      <c r="M18" s="617">
        <f t="shared" si="0"/>
        <v>5</v>
      </c>
      <c r="N18" s="618">
        <f t="shared" si="0"/>
        <v>5</v>
      </c>
      <c r="O18" s="195">
        <f t="shared" si="0"/>
        <v>20</v>
      </c>
      <c r="P18" s="617">
        <f t="shared" si="0"/>
        <v>5</v>
      </c>
      <c r="Q18" s="617">
        <f t="shared" si="0"/>
        <v>60</v>
      </c>
      <c r="R18" s="617">
        <f t="shared" si="0"/>
        <v>70</v>
      </c>
      <c r="S18" s="617">
        <f t="shared" si="0"/>
        <v>80</v>
      </c>
      <c r="T18" s="646">
        <f t="shared" si="0"/>
        <v>80</v>
      </c>
      <c r="U18" s="647">
        <v>18</v>
      </c>
      <c r="V18" s="185"/>
      <c r="W18" s="11"/>
      <c r="X18" s="11"/>
      <c r="Y18" s="11"/>
      <c r="Z18" s="185"/>
      <c r="AA18" s="190"/>
      <c r="AB18" s="65"/>
    </row>
    <row r="19" spans="1:28" ht="12" x14ac:dyDescent="0.2">
      <c r="A19" s="507" t="s">
        <v>121</v>
      </c>
      <c r="B19" s="648">
        <v>0.55000000000000004</v>
      </c>
      <c r="C19" s="648">
        <v>0.4</v>
      </c>
      <c r="D19" s="648">
        <v>0.7</v>
      </c>
      <c r="E19" s="648">
        <v>0.7</v>
      </c>
      <c r="F19" s="648">
        <v>0.6</v>
      </c>
      <c r="G19" s="648">
        <v>0.8</v>
      </c>
      <c r="H19" s="648">
        <v>0.8</v>
      </c>
      <c r="I19" s="648">
        <v>0.6</v>
      </c>
      <c r="J19" s="648">
        <v>0.8</v>
      </c>
      <c r="K19" s="648">
        <v>0.8</v>
      </c>
      <c r="L19" s="648">
        <v>0.8</v>
      </c>
      <c r="M19" s="648">
        <v>0.4</v>
      </c>
      <c r="N19" s="649">
        <v>0.4</v>
      </c>
      <c r="O19" s="201">
        <v>0.55000000000000004</v>
      </c>
      <c r="P19" s="648">
        <v>0.4</v>
      </c>
      <c r="Q19" s="648">
        <v>0.7</v>
      </c>
      <c r="R19" s="648">
        <v>0.7</v>
      </c>
      <c r="S19" s="648">
        <v>0.6</v>
      </c>
      <c r="T19" s="650">
        <v>0.6</v>
      </c>
      <c r="U19" s="651">
        <v>0.4</v>
      </c>
      <c r="V19" s="276"/>
    </row>
    <row r="20" spans="1:28" ht="12" x14ac:dyDescent="0.2">
      <c r="A20" s="512" t="s">
        <v>122</v>
      </c>
      <c r="B20" s="649"/>
      <c r="C20" s="652"/>
      <c r="D20" s="652"/>
      <c r="E20" s="652"/>
      <c r="F20" s="652"/>
      <c r="G20" s="652"/>
      <c r="H20" s="652"/>
      <c r="I20" s="652"/>
      <c r="J20" s="652"/>
      <c r="K20" s="652"/>
      <c r="L20" s="652"/>
      <c r="M20" s="652"/>
      <c r="N20" s="653"/>
      <c r="O20" s="201"/>
      <c r="P20" s="652"/>
      <c r="Q20" s="652"/>
      <c r="R20" s="652"/>
      <c r="S20" s="652"/>
      <c r="T20" s="653"/>
      <c r="U20" s="651"/>
      <c r="V20" s="276"/>
    </row>
    <row r="21" spans="1:28" ht="12" x14ac:dyDescent="0.2">
      <c r="A21" s="515" t="s">
        <v>123</v>
      </c>
      <c r="B21" s="516">
        <f t="shared" ref="B21:U21" si="1">B19*$B$8</f>
        <v>15.07</v>
      </c>
      <c r="C21" s="516">
        <f t="shared" si="1"/>
        <v>10.96</v>
      </c>
      <c r="D21" s="516">
        <f t="shared" si="1"/>
        <v>19.179999999999996</v>
      </c>
      <c r="E21" s="516">
        <f t="shared" si="1"/>
        <v>19.179999999999996</v>
      </c>
      <c r="F21" s="516">
        <f t="shared" si="1"/>
        <v>16.439999999999998</v>
      </c>
      <c r="G21" s="516">
        <f t="shared" si="1"/>
        <v>21.92</v>
      </c>
      <c r="H21" s="516">
        <f t="shared" si="1"/>
        <v>21.92</v>
      </c>
      <c r="I21" s="516">
        <f t="shared" si="1"/>
        <v>16.439999999999998</v>
      </c>
      <c r="J21" s="516">
        <f t="shared" si="1"/>
        <v>21.92</v>
      </c>
      <c r="K21" s="516">
        <f t="shared" si="1"/>
        <v>21.92</v>
      </c>
      <c r="L21" s="516">
        <f t="shared" si="1"/>
        <v>21.92</v>
      </c>
      <c r="M21" s="516">
        <f t="shared" si="1"/>
        <v>10.96</v>
      </c>
      <c r="N21" s="517">
        <f t="shared" si="1"/>
        <v>10.96</v>
      </c>
      <c r="O21" s="200">
        <f t="shared" si="1"/>
        <v>15.07</v>
      </c>
      <c r="P21" s="516">
        <f t="shared" si="1"/>
        <v>10.96</v>
      </c>
      <c r="Q21" s="516">
        <f t="shared" si="1"/>
        <v>19.179999999999996</v>
      </c>
      <c r="R21" s="516">
        <f t="shared" si="1"/>
        <v>19.179999999999996</v>
      </c>
      <c r="S21" s="516">
        <f t="shared" si="1"/>
        <v>16.439999999999998</v>
      </c>
      <c r="T21" s="518">
        <f t="shared" si="1"/>
        <v>16.439999999999998</v>
      </c>
      <c r="U21" s="519">
        <f t="shared" si="1"/>
        <v>10.96</v>
      </c>
      <c r="V21" s="276"/>
    </row>
    <row r="22" spans="1:28" ht="12" x14ac:dyDescent="0.2">
      <c r="A22" s="515" t="s">
        <v>124</v>
      </c>
      <c r="B22" s="520">
        <f t="shared" ref="B22:U22" si="2">B21*$B$5</f>
        <v>30.14</v>
      </c>
      <c r="C22" s="520">
        <f t="shared" si="2"/>
        <v>21.92</v>
      </c>
      <c r="D22" s="520">
        <f t="shared" si="2"/>
        <v>38.359999999999992</v>
      </c>
      <c r="E22" s="520">
        <f t="shared" si="2"/>
        <v>38.359999999999992</v>
      </c>
      <c r="F22" s="520">
        <f t="shared" si="2"/>
        <v>32.879999999999995</v>
      </c>
      <c r="G22" s="520">
        <f t="shared" si="2"/>
        <v>43.84</v>
      </c>
      <c r="H22" s="520">
        <f t="shared" si="2"/>
        <v>43.84</v>
      </c>
      <c r="I22" s="520">
        <f t="shared" si="2"/>
        <v>32.879999999999995</v>
      </c>
      <c r="J22" s="520">
        <f t="shared" si="2"/>
        <v>43.84</v>
      </c>
      <c r="K22" s="520">
        <f t="shared" si="2"/>
        <v>43.84</v>
      </c>
      <c r="L22" s="520">
        <f t="shared" si="2"/>
        <v>43.84</v>
      </c>
      <c r="M22" s="520">
        <f t="shared" si="2"/>
        <v>21.92</v>
      </c>
      <c r="N22" s="521">
        <f t="shared" si="2"/>
        <v>21.92</v>
      </c>
      <c r="O22" s="198">
        <f t="shared" si="2"/>
        <v>30.14</v>
      </c>
      <c r="P22" s="520">
        <f t="shared" si="2"/>
        <v>21.92</v>
      </c>
      <c r="Q22" s="520">
        <f t="shared" si="2"/>
        <v>38.359999999999992</v>
      </c>
      <c r="R22" s="520">
        <f t="shared" si="2"/>
        <v>38.359999999999992</v>
      </c>
      <c r="S22" s="520">
        <f t="shared" si="2"/>
        <v>32.879999999999995</v>
      </c>
      <c r="T22" s="522">
        <f t="shared" si="2"/>
        <v>32.879999999999995</v>
      </c>
      <c r="U22" s="523">
        <f t="shared" si="2"/>
        <v>21.92</v>
      </c>
      <c r="V22" s="276"/>
    </row>
    <row r="23" spans="1:28" ht="12" x14ac:dyDescent="0.2">
      <c r="A23" s="515" t="s">
        <v>125</v>
      </c>
      <c r="B23" s="524">
        <f t="shared" ref="B23:U23" si="3">$B$9</f>
        <v>2</v>
      </c>
      <c r="C23" s="524">
        <f t="shared" si="3"/>
        <v>2</v>
      </c>
      <c r="D23" s="524">
        <f t="shared" si="3"/>
        <v>2</v>
      </c>
      <c r="E23" s="524">
        <f t="shared" si="3"/>
        <v>2</v>
      </c>
      <c r="F23" s="524">
        <f t="shared" si="3"/>
        <v>2</v>
      </c>
      <c r="G23" s="524">
        <f t="shared" si="3"/>
        <v>2</v>
      </c>
      <c r="H23" s="524">
        <f t="shared" si="3"/>
        <v>2</v>
      </c>
      <c r="I23" s="524">
        <f t="shared" si="3"/>
        <v>2</v>
      </c>
      <c r="J23" s="524">
        <f t="shared" si="3"/>
        <v>2</v>
      </c>
      <c r="K23" s="524">
        <f t="shared" si="3"/>
        <v>2</v>
      </c>
      <c r="L23" s="524">
        <f t="shared" si="3"/>
        <v>2</v>
      </c>
      <c r="M23" s="524">
        <f t="shared" si="3"/>
        <v>2</v>
      </c>
      <c r="N23" s="525">
        <f t="shared" si="3"/>
        <v>2</v>
      </c>
      <c r="O23" s="199">
        <f t="shared" si="3"/>
        <v>2</v>
      </c>
      <c r="P23" s="524">
        <f t="shared" si="3"/>
        <v>2</v>
      </c>
      <c r="Q23" s="524">
        <f t="shared" si="3"/>
        <v>2</v>
      </c>
      <c r="R23" s="524">
        <f t="shared" si="3"/>
        <v>2</v>
      </c>
      <c r="S23" s="524">
        <f t="shared" si="3"/>
        <v>2</v>
      </c>
      <c r="T23" s="526">
        <f t="shared" si="3"/>
        <v>2</v>
      </c>
      <c r="U23" s="527">
        <f t="shared" si="3"/>
        <v>2</v>
      </c>
      <c r="V23" s="276"/>
    </row>
    <row r="24" spans="1:28" ht="12" x14ac:dyDescent="0.2">
      <c r="A24" s="515" t="s">
        <v>126</v>
      </c>
      <c r="B24" s="524">
        <f t="shared" ref="B24:U24" si="4">IF(ISBLANK(B102),0,$B$10)</f>
        <v>0</v>
      </c>
      <c r="C24" s="524">
        <f t="shared" si="4"/>
        <v>0</v>
      </c>
      <c r="D24" s="524">
        <f t="shared" si="4"/>
        <v>0</v>
      </c>
      <c r="E24" s="524">
        <f t="shared" si="4"/>
        <v>0</v>
      </c>
      <c r="F24" s="524">
        <f t="shared" si="4"/>
        <v>0</v>
      </c>
      <c r="G24" s="524">
        <f t="shared" si="4"/>
        <v>29.52</v>
      </c>
      <c r="H24" s="524">
        <f t="shared" si="4"/>
        <v>29.52</v>
      </c>
      <c r="I24" s="524">
        <f t="shared" si="4"/>
        <v>0</v>
      </c>
      <c r="J24" s="524">
        <f t="shared" si="4"/>
        <v>29.52</v>
      </c>
      <c r="K24" s="524">
        <f t="shared" si="4"/>
        <v>29.52</v>
      </c>
      <c r="L24" s="524">
        <f t="shared" si="4"/>
        <v>29.52</v>
      </c>
      <c r="M24" s="524">
        <f t="shared" si="4"/>
        <v>0</v>
      </c>
      <c r="N24" s="525">
        <f t="shared" si="4"/>
        <v>0</v>
      </c>
      <c r="O24" s="199">
        <f t="shared" si="4"/>
        <v>29.52</v>
      </c>
      <c r="P24" s="524">
        <f t="shared" si="4"/>
        <v>29.52</v>
      </c>
      <c r="Q24" s="524">
        <f t="shared" si="4"/>
        <v>29.52</v>
      </c>
      <c r="R24" s="524">
        <f t="shared" si="4"/>
        <v>29.52</v>
      </c>
      <c r="S24" s="524">
        <f t="shared" si="4"/>
        <v>29.52</v>
      </c>
      <c r="T24" s="526">
        <f t="shared" si="4"/>
        <v>29.52</v>
      </c>
      <c r="U24" s="527">
        <f t="shared" si="4"/>
        <v>0</v>
      </c>
      <c r="V24" s="276"/>
    </row>
    <row r="25" spans="1:28" ht="12" x14ac:dyDescent="0.2">
      <c r="A25" s="515" t="s">
        <v>127</v>
      </c>
      <c r="B25" s="520">
        <f t="shared" ref="B25:U25" si="5">B21*$B$5+SUM(B23:B24)</f>
        <v>32.14</v>
      </c>
      <c r="C25" s="520">
        <f t="shared" si="5"/>
        <v>23.92</v>
      </c>
      <c r="D25" s="520">
        <f t="shared" si="5"/>
        <v>40.359999999999992</v>
      </c>
      <c r="E25" s="520">
        <f t="shared" si="5"/>
        <v>40.359999999999992</v>
      </c>
      <c r="F25" s="520">
        <f t="shared" si="5"/>
        <v>34.879999999999995</v>
      </c>
      <c r="G25" s="520">
        <f t="shared" si="5"/>
        <v>75.36</v>
      </c>
      <c r="H25" s="520">
        <f t="shared" si="5"/>
        <v>75.36</v>
      </c>
      <c r="I25" s="520">
        <f t="shared" si="5"/>
        <v>34.879999999999995</v>
      </c>
      <c r="J25" s="520">
        <f t="shared" si="5"/>
        <v>75.36</v>
      </c>
      <c r="K25" s="520">
        <f t="shared" si="5"/>
        <v>75.36</v>
      </c>
      <c r="L25" s="520">
        <f t="shared" si="5"/>
        <v>75.36</v>
      </c>
      <c r="M25" s="520">
        <f t="shared" si="5"/>
        <v>23.92</v>
      </c>
      <c r="N25" s="521">
        <f t="shared" si="5"/>
        <v>23.92</v>
      </c>
      <c r="O25" s="198">
        <f t="shared" si="5"/>
        <v>61.66</v>
      </c>
      <c r="P25" s="520">
        <f t="shared" si="5"/>
        <v>53.44</v>
      </c>
      <c r="Q25" s="520">
        <f t="shared" si="5"/>
        <v>69.88</v>
      </c>
      <c r="R25" s="520">
        <f t="shared" si="5"/>
        <v>69.88</v>
      </c>
      <c r="S25" s="520">
        <f t="shared" si="5"/>
        <v>64.399999999999991</v>
      </c>
      <c r="T25" s="522">
        <f t="shared" si="5"/>
        <v>64.399999999999991</v>
      </c>
      <c r="U25" s="523">
        <f t="shared" si="5"/>
        <v>23.92</v>
      </c>
      <c r="V25" s="276"/>
    </row>
    <row r="26" spans="1:28" ht="12" x14ac:dyDescent="0.2">
      <c r="A26" s="18" t="s">
        <v>128</v>
      </c>
      <c r="B26" s="19">
        <f t="shared" ref="B26:U26" si="6">-IF(ISBLANK(B101),0,MIN(B$22*$H$10,B$22-$B$7*$H$9))</f>
        <v>-8.2199999999999989</v>
      </c>
      <c r="C26" s="19">
        <f t="shared" si="6"/>
        <v>0</v>
      </c>
      <c r="D26" s="19">
        <f t="shared" si="6"/>
        <v>-11.009319999999997</v>
      </c>
      <c r="E26" s="19">
        <f t="shared" si="6"/>
        <v>-11.009319999999997</v>
      </c>
      <c r="F26" s="19">
        <f t="shared" si="6"/>
        <v>-9.4365599999999983</v>
      </c>
      <c r="G26" s="19">
        <f t="shared" si="6"/>
        <v>0</v>
      </c>
      <c r="H26" s="19">
        <f t="shared" si="6"/>
        <v>0</v>
      </c>
      <c r="I26" s="19">
        <f t="shared" si="6"/>
        <v>-9.4365599999999983</v>
      </c>
      <c r="J26" s="19">
        <f t="shared" si="6"/>
        <v>0</v>
      </c>
      <c r="K26" s="19">
        <f t="shared" si="6"/>
        <v>0</v>
      </c>
      <c r="L26" s="19">
        <f t="shared" si="6"/>
        <v>0</v>
      </c>
      <c r="M26" s="19">
        <f t="shared" si="6"/>
        <v>0</v>
      </c>
      <c r="N26" s="84">
        <f t="shared" si="6"/>
        <v>0</v>
      </c>
      <c r="O26" s="197">
        <f t="shared" si="6"/>
        <v>0</v>
      </c>
      <c r="P26" s="19">
        <f t="shared" si="6"/>
        <v>0</v>
      </c>
      <c r="Q26" s="19">
        <f t="shared" si="6"/>
        <v>0</v>
      </c>
      <c r="R26" s="19">
        <f t="shared" si="6"/>
        <v>0</v>
      </c>
      <c r="S26" s="19">
        <f t="shared" si="6"/>
        <v>0</v>
      </c>
      <c r="T26" s="109">
        <f t="shared" si="6"/>
        <v>0</v>
      </c>
      <c r="U26" s="523">
        <f t="shared" si="6"/>
        <v>0</v>
      </c>
      <c r="V26" s="276"/>
    </row>
    <row r="27" spans="1:28" ht="12" x14ac:dyDescent="0.2">
      <c r="A27" s="515" t="s">
        <v>129</v>
      </c>
      <c r="B27" s="19">
        <f t="shared" ref="B27:U27" si="7">SUM(B25:B26)</f>
        <v>23.92</v>
      </c>
      <c r="C27" s="19">
        <f t="shared" si="7"/>
        <v>23.92</v>
      </c>
      <c r="D27" s="19">
        <f t="shared" si="7"/>
        <v>29.350679999999997</v>
      </c>
      <c r="E27" s="19">
        <f t="shared" si="7"/>
        <v>29.350679999999997</v>
      </c>
      <c r="F27" s="19">
        <f t="shared" si="7"/>
        <v>25.443439999999995</v>
      </c>
      <c r="G27" s="19">
        <f t="shared" si="7"/>
        <v>75.36</v>
      </c>
      <c r="H27" s="19">
        <f t="shared" si="7"/>
        <v>75.36</v>
      </c>
      <c r="I27" s="19">
        <f t="shared" si="7"/>
        <v>25.443439999999995</v>
      </c>
      <c r="J27" s="19">
        <f t="shared" si="7"/>
        <v>75.36</v>
      </c>
      <c r="K27" s="19">
        <f t="shared" si="7"/>
        <v>75.36</v>
      </c>
      <c r="L27" s="19">
        <f t="shared" si="7"/>
        <v>75.36</v>
      </c>
      <c r="M27" s="19">
        <f t="shared" si="7"/>
        <v>23.92</v>
      </c>
      <c r="N27" s="84">
        <f t="shared" si="7"/>
        <v>23.92</v>
      </c>
      <c r="O27" s="197">
        <f t="shared" si="7"/>
        <v>61.66</v>
      </c>
      <c r="P27" s="19">
        <f t="shared" si="7"/>
        <v>53.44</v>
      </c>
      <c r="Q27" s="19">
        <f t="shared" si="7"/>
        <v>69.88</v>
      </c>
      <c r="R27" s="19">
        <f t="shared" si="7"/>
        <v>69.88</v>
      </c>
      <c r="S27" s="19">
        <f t="shared" si="7"/>
        <v>64.399999999999991</v>
      </c>
      <c r="T27" s="109">
        <f t="shared" si="7"/>
        <v>64.399999999999991</v>
      </c>
      <c r="U27" s="523">
        <f t="shared" si="7"/>
        <v>23.92</v>
      </c>
      <c r="V27" s="276"/>
    </row>
    <row r="28" spans="1:28" ht="12" x14ac:dyDescent="0.2">
      <c r="A28" s="18" t="s">
        <v>130</v>
      </c>
      <c r="B28" s="654">
        <f>AVERAGE(M22:N22,B22)</f>
        <v>24.66</v>
      </c>
      <c r="C28" s="654">
        <f>AVERAGE(N22,B22:C22)</f>
        <v>24.66</v>
      </c>
      <c r="D28" s="654">
        <f t="shared" ref="D28:N28" si="8">AVERAGE(B22:D22)</f>
        <v>30.139999999999997</v>
      </c>
      <c r="E28" s="654">
        <f t="shared" si="8"/>
        <v>32.879999999999995</v>
      </c>
      <c r="F28" s="654">
        <f t="shared" si="8"/>
        <v>36.533333333333324</v>
      </c>
      <c r="G28" s="654">
        <f t="shared" si="8"/>
        <v>38.359999999999992</v>
      </c>
      <c r="H28" s="654">
        <f t="shared" si="8"/>
        <v>40.186666666666667</v>
      </c>
      <c r="I28" s="654">
        <f t="shared" si="8"/>
        <v>40.186666666666667</v>
      </c>
      <c r="J28" s="654">
        <f t="shared" si="8"/>
        <v>40.186666666666667</v>
      </c>
      <c r="K28" s="654">
        <f t="shared" si="8"/>
        <v>40.186666666666667</v>
      </c>
      <c r="L28" s="654">
        <f t="shared" si="8"/>
        <v>43.84</v>
      </c>
      <c r="M28" s="654">
        <f t="shared" si="8"/>
        <v>36.533333333333339</v>
      </c>
      <c r="N28" s="655">
        <f t="shared" si="8"/>
        <v>29.22666666666667</v>
      </c>
      <c r="O28" s="197">
        <f>B28</f>
        <v>24.66</v>
      </c>
      <c r="P28" s="19">
        <f>C28</f>
        <v>24.66</v>
      </c>
      <c r="Q28" s="19">
        <f>D28</f>
        <v>30.139999999999997</v>
      </c>
      <c r="R28" s="19">
        <f>E28</f>
        <v>32.879999999999995</v>
      </c>
      <c r="S28" s="19">
        <f>F28</f>
        <v>36.533333333333324</v>
      </c>
      <c r="T28" s="109">
        <f>I28</f>
        <v>40.186666666666667</v>
      </c>
      <c r="U28" s="523">
        <f>U27</f>
        <v>23.92</v>
      </c>
      <c r="V28" s="276"/>
    </row>
    <row r="29" spans="1:28" ht="12" x14ac:dyDescent="0.2">
      <c r="A29" s="245" t="s">
        <v>132</v>
      </c>
      <c r="B29" s="656"/>
      <c r="C29" s="656"/>
      <c r="D29" s="656"/>
      <c r="E29" s="656"/>
      <c r="F29" s="656"/>
      <c r="G29" s="656"/>
      <c r="H29" s="656"/>
      <c r="I29" s="656"/>
      <c r="J29" s="656"/>
      <c r="K29" s="656"/>
      <c r="L29" s="656"/>
      <c r="M29" s="656"/>
      <c r="N29" s="656"/>
      <c r="O29" s="108"/>
      <c r="P29" s="241"/>
      <c r="Q29" s="241"/>
      <c r="R29" s="241"/>
      <c r="S29" s="241"/>
      <c r="T29" s="248"/>
      <c r="U29" s="523"/>
      <c r="V29" s="276"/>
    </row>
    <row r="30" spans="1:28" ht="12" x14ac:dyDescent="0.2">
      <c r="A30" s="18" t="s">
        <v>133</v>
      </c>
      <c r="B30" s="654">
        <f t="shared" ref="B30:U30" si="9">IF(ISBLANK(B101),0,$B$11)</f>
        <v>7.2</v>
      </c>
      <c r="C30" s="654">
        <f t="shared" si="9"/>
        <v>7.2</v>
      </c>
      <c r="D30" s="654">
        <f t="shared" si="9"/>
        <v>7.2</v>
      </c>
      <c r="E30" s="654">
        <f t="shared" si="9"/>
        <v>7.2</v>
      </c>
      <c r="F30" s="654">
        <f t="shared" si="9"/>
        <v>7.2</v>
      </c>
      <c r="G30" s="654">
        <f t="shared" si="9"/>
        <v>0</v>
      </c>
      <c r="H30" s="654">
        <f t="shared" si="9"/>
        <v>0</v>
      </c>
      <c r="I30" s="654">
        <f t="shared" si="9"/>
        <v>7.2</v>
      </c>
      <c r="J30" s="654">
        <f t="shared" si="9"/>
        <v>0</v>
      </c>
      <c r="K30" s="654">
        <f t="shared" si="9"/>
        <v>0</v>
      </c>
      <c r="L30" s="654">
        <f t="shared" si="9"/>
        <v>0</v>
      </c>
      <c r="M30" s="654">
        <f t="shared" si="9"/>
        <v>7.2</v>
      </c>
      <c r="N30" s="657">
        <f t="shared" si="9"/>
        <v>7.2</v>
      </c>
      <c r="O30" s="198">
        <f t="shared" si="9"/>
        <v>0</v>
      </c>
      <c r="P30" s="520">
        <f t="shared" si="9"/>
        <v>0</v>
      </c>
      <c r="Q30" s="520">
        <f t="shared" si="9"/>
        <v>0</v>
      </c>
      <c r="R30" s="520">
        <f t="shared" si="9"/>
        <v>0</v>
      </c>
      <c r="S30" s="520">
        <f t="shared" si="9"/>
        <v>0</v>
      </c>
      <c r="T30" s="522">
        <f t="shared" si="9"/>
        <v>0</v>
      </c>
      <c r="U30" s="523">
        <f t="shared" si="9"/>
        <v>7.2</v>
      </c>
      <c r="V30" s="276"/>
    </row>
    <row r="31" spans="1:28" ht="12.75" x14ac:dyDescent="0.2">
      <c r="A31" s="528" t="s">
        <v>134</v>
      </c>
      <c r="B31" s="530"/>
      <c r="C31" s="530"/>
      <c r="D31" s="530"/>
      <c r="E31" s="530"/>
      <c r="F31" s="530"/>
      <c r="G31" s="530"/>
      <c r="H31" s="530"/>
      <c r="I31" s="530"/>
      <c r="J31" s="530"/>
      <c r="K31" s="530"/>
      <c r="L31" s="530"/>
      <c r="M31" s="530"/>
      <c r="N31" s="530"/>
      <c r="O31" s="196"/>
      <c r="P31" s="530"/>
      <c r="Q31" s="530"/>
      <c r="R31" s="530"/>
      <c r="S31" s="530"/>
      <c r="T31" s="658"/>
      <c r="U31" s="531"/>
      <c r="V31" s="276"/>
    </row>
    <row r="32" spans="1:28" ht="12" x14ac:dyDescent="0.2">
      <c r="A32" s="488" t="s">
        <v>135</v>
      </c>
      <c r="B32" s="508">
        <v>0.8</v>
      </c>
      <c r="C32" s="508">
        <v>0.7</v>
      </c>
      <c r="D32" s="508">
        <v>0.9</v>
      </c>
      <c r="E32" s="508">
        <v>0.9</v>
      </c>
      <c r="F32" s="508">
        <v>1</v>
      </c>
      <c r="G32" s="508">
        <v>1</v>
      </c>
      <c r="H32" s="508">
        <v>1</v>
      </c>
      <c r="I32" s="508">
        <v>1</v>
      </c>
      <c r="J32" s="508">
        <v>1</v>
      </c>
      <c r="K32" s="508">
        <v>1</v>
      </c>
      <c r="L32" s="508">
        <v>1</v>
      </c>
      <c r="M32" s="508">
        <v>0.7</v>
      </c>
      <c r="N32" s="509">
        <v>0.7</v>
      </c>
      <c r="O32" s="92">
        <v>0.8</v>
      </c>
      <c r="P32" s="508">
        <v>0.7</v>
      </c>
      <c r="Q32" s="508">
        <v>0.9</v>
      </c>
      <c r="R32" s="508">
        <v>0.9</v>
      </c>
      <c r="S32" s="508">
        <v>1</v>
      </c>
      <c r="T32" s="510">
        <v>1</v>
      </c>
      <c r="U32" s="511">
        <v>0.7</v>
      </c>
      <c r="V32" s="276"/>
    </row>
    <row r="33" spans="1:50" ht="12" x14ac:dyDescent="0.2">
      <c r="A33" s="488" t="s">
        <v>136</v>
      </c>
      <c r="B33" s="508">
        <f>B32*0.8</f>
        <v>0.64000000000000012</v>
      </c>
      <c r="C33" s="508">
        <f t="shared" ref="C33:U33" si="10">C32*0.8</f>
        <v>0.55999999999999994</v>
      </c>
      <c r="D33" s="508">
        <f t="shared" si="10"/>
        <v>0.72000000000000008</v>
      </c>
      <c r="E33" s="508">
        <f t="shared" si="10"/>
        <v>0.72000000000000008</v>
      </c>
      <c r="F33" s="508">
        <f t="shared" si="10"/>
        <v>0.8</v>
      </c>
      <c r="G33" s="508">
        <f t="shared" si="10"/>
        <v>0.8</v>
      </c>
      <c r="H33" s="508">
        <f t="shared" si="10"/>
        <v>0.8</v>
      </c>
      <c r="I33" s="508">
        <f t="shared" si="10"/>
        <v>0.8</v>
      </c>
      <c r="J33" s="508">
        <f t="shared" si="10"/>
        <v>0.8</v>
      </c>
      <c r="K33" s="508">
        <f t="shared" si="10"/>
        <v>0.8</v>
      </c>
      <c r="L33" s="508">
        <f t="shared" si="10"/>
        <v>0.8</v>
      </c>
      <c r="M33" s="508">
        <f t="shared" si="10"/>
        <v>0.55999999999999994</v>
      </c>
      <c r="N33" s="509">
        <f t="shared" si="10"/>
        <v>0.55999999999999994</v>
      </c>
      <c r="O33" s="92">
        <f t="shared" si="10"/>
        <v>0.64000000000000012</v>
      </c>
      <c r="P33" s="508">
        <f t="shared" si="10"/>
        <v>0.55999999999999994</v>
      </c>
      <c r="Q33" s="508">
        <f t="shared" si="10"/>
        <v>0.72000000000000008</v>
      </c>
      <c r="R33" s="508">
        <f t="shared" si="10"/>
        <v>0.72000000000000008</v>
      </c>
      <c r="S33" s="508">
        <f t="shared" si="10"/>
        <v>0.8</v>
      </c>
      <c r="T33" s="510">
        <f t="shared" si="10"/>
        <v>0.8</v>
      </c>
      <c r="U33" s="511">
        <f t="shared" si="10"/>
        <v>0.55999999999999994</v>
      </c>
      <c r="V33" s="276"/>
    </row>
    <row r="34" spans="1:50" ht="12" x14ac:dyDescent="0.2">
      <c r="A34" s="488" t="s">
        <v>137</v>
      </c>
      <c r="B34" s="508">
        <f>((B36*$B$125)/$B$2)</f>
        <v>0.54306302992572097</v>
      </c>
      <c r="C34" s="508">
        <f t="shared" ref="C34:U34" si="11">((C36*$B$125)/$B$2)</f>
        <v>0.47518015118500584</v>
      </c>
      <c r="D34" s="508">
        <f t="shared" si="11"/>
        <v>0.61094590866643605</v>
      </c>
      <c r="E34" s="508">
        <f t="shared" si="11"/>
        <v>0.61094590866643605</v>
      </c>
      <c r="F34" s="508">
        <f t="shared" si="11"/>
        <v>0.67882878740715125</v>
      </c>
      <c r="G34" s="508">
        <f t="shared" si="11"/>
        <v>0.67882878740715125</v>
      </c>
      <c r="H34" s="508">
        <f t="shared" si="11"/>
        <v>0.67882878740715125</v>
      </c>
      <c r="I34" s="508">
        <f t="shared" si="11"/>
        <v>0.67882878740715125</v>
      </c>
      <c r="J34" s="508">
        <f t="shared" si="11"/>
        <v>0.67882878740715125</v>
      </c>
      <c r="K34" s="508">
        <f t="shared" si="11"/>
        <v>0.67882878740715125</v>
      </c>
      <c r="L34" s="508">
        <f t="shared" si="11"/>
        <v>0.67882878740715125</v>
      </c>
      <c r="M34" s="508">
        <f t="shared" si="11"/>
        <v>0.47518015118500584</v>
      </c>
      <c r="N34" s="509">
        <f t="shared" si="11"/>
        <v>0.47518015118500584</v>
      </c>
      <c r="O34" s="92">
        <f t="shared" si="11"/>
        <v>0.54306302992572097</v>
      </c>
      <c r="P34" s="508">
        <f t="shared" si="11"/>
        <v>0.47518015118500584</v>
      </c>
      <c r="Q34" s="508">
        <f t="shared" si="11"/>
        <v>0.61094590866643605</v>
      </c>
      <c r="R34" s="508">
        <f t="shared" si="11"/>
        <v>0.61094590866643605</v>
      </c>
      <c r="S34" s="508">
        <f t="shared" si="11"/>
        <v>0.67882878740715125</v>
      </c>
      <c r="T34" s="510">
        <f t="shared" si="11"/>
        <v>0.67882878740715125</v>
      </c>
      <c r="U34" s="511">
        <f t="shared" si="11"/>
        <v>0.47518015118500584</v>
      </c>
      <c r="V34" s="276"/>
    </row>
    <row r="35" spans="1:50" ht="12" x14ac:dyDescent="0.2">
      <c r="A35" s="616" t="s">
        <v>138</v>
      </c>
      <c r="B35" s="617">
        <f t="shared" ref="B35:U35" si="12">ROUND($B$2*B32,2)</f>
        <v>0.8</v>
      </c>
      <c r="C35" s="617">
        <f t="shared" si="12"/>
        <v>0.7</v>
      </c>
      <c r="D35" s="617">
        <f t="shared" si="12"/>
        <v>0.9</v>
      </c>
      <c r="E35" s="617">
        <f t="shared" si="12"/>
        <v>0.9</v>
      </c>
      <c r="F35" s="617">
        <f t="shared" si="12"/>
        <v>1</v>
      </c>
      <c r="G35" s="617">
        <f t="shared" si="12"/>
        <v>1</v>
      </c>
      <c r="H35" s="617">
        <f t="shared" si="12"/>
        <v>1</v>
      </c>
      <c r="I35" s="617">
        <f t="shared" si="12"/>
        <v>1</v>
      </c>
      <c r="J35" s="617">
        <f t="shared" si="12"/>
        <v>1</v>
      </c>
      <c r="K35" s="617">
        <f t="shared" si="12"/>
        <v>1</v>
      </c>
      <c r="L35" s="617">
        <f t="shared" si="12"/>
        <v>1</v>
      </c>
      <c r="M35" s="617">
        <f t="shared" si="12"/>
        <v>0.7</v>
      </c>
      <c r="N35" s="646">
        <f t="shared" si="12"/>
        <v>0.7</v>
      </c>
      <c r="O35" s="647">
        <f t="shared" si="12"/>
        <v>0.8</v>
      </c>
      <c r="P35" s="617">
        <f t="shared" si="12"/>
        <v>0.7</v>
      </c>
      <c r="Q35" s="617">
        <f t="shared" si="12"/>
        <v>0.9</v>
      </c>
      <c r="R35" s="617">
        <f t="shared" si="12"/>
        <v>0.9</v>
      </c>
      <c r="S35" s="617">
        <f t="shared" si="12"/>
        <v>1</v>
      </c>
      <c r="T35" s="646">
        <f t="shared" si="12"/>
        <v>1</v>
      </c>
      <c r="U35" s="647">
        <f t="shared" si="12"/>
        <v>0.7</v>
      </c>
      <c r="V35" s="10"/>
      <c r="W35" s="10"/>
    </row>
    <row r="36" spans="1:50" s="10" customFormat="1" ht="12" x14ac:dyDescent="0.2">
      <c r="A36" s="616" t="s">
        <v>139</v>
      </c>
      <c r="B36" s="619">
        <f t="shared" ref="B36:U36" si="13">ROUND($B$2*B33,2)</f>
        <v>0.64</v>
      </c>
      <c r="C36" s="619">
        <f t="shared" si="13"/>
        <v>0.56000000000000005</v>
      </c>
      <c r="D36" s="619">
        <f t="shared" si="13"/>
        <v>0.72</v>
      </c>
      <c r="E36" s="619">
        <f t="shared" si="13"/>
        <v>0.72</v>
      </c>
      <c r="F36" s="619">
        <f t="shared" si="13"/>
        <v>0.8</v>
      </c>
      <c r="G36" s="617">
        <f t="shared" si="13"/>
        <v>0.8</v>
      </c>
      <c r="H36" s="617">
        <f t="shared" si="13"/>
        <v>0.8</v>
      </c>
      <c r="I36" s="619">
        <f t="shared" si="13"/>
        <v>0.8</v>
      </c>
      <c r="J36" s="617">
        <f t="shared" si="13"/>
        <v>0.8</v>
      </c>
      <c r="K36" s="617">
        <f t="shared" si="13"/>
        <v>0.8</v>
      </c>
      <c r="L36" s="617">
        <f t="shared" si="13"/>
        <v>0.8</v>
      </c>
      <c r="M36" s="619">
        <f t="shared" si="13"/>
        <v>0.56000000000000005</v>
      </c>
      <c r="N36" s="620">
        <f t="shared" si="13"/>
        <v>0.56000000000000005</v>
      </c>
      <c r="O36" s="195">
        <f t="shared" si="13"/>
        <v>0.64</v>
      </c>
      <c r="P36" s="617">
        <f t="shared" si="13"/>
        <v>0.56000000000000005</v>
      </c>
      <c r="Q36" s="617">
        <f t="shared" si="13"/>
        <v>0.72</v>
      </c>
      <c r="R36" s="617">
        <f t="shared" si="13"/>
        <v>0.72</v>
      </c>
      <c r="S36" s="617">
        <f t="shared" si="13"/>
        <v>0.8</v>
      </c>
      <c r="T36" s="646">
        <f t="shared" si="13"/>
        <v>0.8</v>
      </c>
      <c r="U36" s="647">
        <f t="shared" si="13"/>
        <v>0.56000000000000005</v>
      </c>
    </row>
    <row r="37" spans="1:50" s="10" customFormat="1" ht="12" x14ac:dyDescent="0.2">
      <c r="A37" s="540" t="s">
        <v>140</v>
      </c>
      <c r="B37" s="537">
        <f>B34*$B$2</f>
        <v>0.54306302992572097</v>
      </c>
      <c r="C37" s="537">
        <f t="shared" ref="C37:U37" si="14">C34*$B$2</f>
        <v>0.47518015118500584</v>
      </c>
      <c r="D37" s="537">
        <f t="shared" si="14"/>
        <v>0.61094590866643605</v>
      </c>
      <c r="E37" s="537">
        <f t="shared" si="14"/>
        <v>0.61094590866643605</v>
      </c>
      <c r="F37" s="537">
        <f t="shared" si="14"/>
        <v>0.67882878740715125</v>
      </c>
      <c r="G37" s="537">
        <f t="shared" si="14"/>
        <v>0.67882878740715125</v>
      </c>
      <c r="H37" s="537">
        <f t="shared" si="14"/>
        <v>0.67882878740715125</v>
      </c>
      <c r="I37" s="537">
        <f t="shared" si="14"/>
        <v>0.67882878740715125</v>
      </c>
      <c r="J37" s="537">
        <f t="shared" si="14"/>
        <v>0.67882878740715125</v>
      </c>
      <c r="K37" s="537">
        <f t="shared" si="14"/>
        <v>0.67882878740715125</v>
      </c>
      <c r="L37" s="537">
        <f t="shared" si="14"/>
        <v>0.67882878740715125</v>
      </c>
      <c r="M37" s="537">
        <f t="shared" si="14"/>
        <v>0.47518015118500584</v>
      </c>
      <c r="N37" s="539">
        <f t="shared" si="14"/>
        <v>0.47518015118500584</v>
      </c>
      <c r="O37" s="542">
        <f t="shared" si="14"/>
        <v>0.54306302992572097</v>
      </c>
      <c r="P37" s="537">
        <f t="shared" si="14"/>
        <v>0.47518015118500584</v>
      </c>
      <c r="Q37" s="537">
        <f t="shared" si="14"/>
        <v>0.61094590866643605</v>
      </c>
      <c r="R37" s="537">
        <f t="shared" si="14"/>
        <v>0.61094590866643605</v>
      </c>
      <c r="S37" s="537">
        <f t="shared" si="14"/>
        <v>0.67882878740715125</v>
      </c>
      <c r="T37" s="539">
        <f t="shared" si="14"/>
        <v>0.67882878740715125</v>
      </c>
      <c r="U37" s="542">
        <f t="shared" si="14"/>
        <v>0.47518015118500584</v>
      </c>
    </row>
    <row r="38" spans="1:50" s="10" customFormat="1" ht="12" x14ac:dyDescent="0.2">
      <c r="A38" s="543" t="s">
        <v>141</v>
      </c>
      <c r="B38" s="544"/>
      <c r="C38" s="545"/>
      <c r="D38" s="545"/>
      <c r="E38" s="545"/>
      <c r="F38" s="545"/>
      <c r="G38" s="545"/>
      <c r="H38" s="545"/>
      <c r="I38" s="545"/>
      <c r="J38" s="545"/>
      <c r="K38" s="545"/>
      <c r="L38" s="545"/>
      <c r="M38" s="545"/>
      <c r="N38" s="659"/>
      <c r="O38" s="545"/>
      <c r="P38" s="545"/>
      <c r="Q38" s="545"/>
      <c r="R38" s="545"/>
      <c r="S38" s="545"/>
      <c r="T38" s="659"/>
      <c r="U38" s="545"/>
      <c r="V38" s="193"/>
      <c r="W38" s="193"/>
      <c r="X38" s="193"/>
      <c r="Y38" s="193"/>
      <c r="Z38" s="193"/>
      <c r="AA38" s="193"/>
      <c r="AB38" s="193"/>
      <c r="AC38" s="193"/>
      <c r="AD38" s="193"/>
      <c r="AE38" s="193"/>
      <c r="AF38" s="193"/>
      <c r="AG38" s="193"/>
      <c r="AH38" s="65"/>
      <c r="AI38" s="65"/>
      <c r="AJ38" s="65"/>
      <c r="AK38" s="65"/>
      <c r="AL38" s="65"/>
      <c r="AM38" s="65"/>
      <c r="AN38" s="65"/>
      <c r="AO38" s="65"/>
      <c r="AP38" s="65"/>
      <c r="AQ38" s="65"/>
      <c r="AR38" s="65"/>
      <c r="AS38" s="65"/>
      <c r="AT38" s="65"/>
      <c r="AU38" s="65"/>
      <c r="AV38" s="65"/>
      <c r="AW38" s="65"/>
      <c r="AX38" s="65"/>
    </row>
    <row r="39" spans="1:50" ht="12" x14ac:dyDescent="0.2">
      <c r="A39" s="546" t="s">
        <v>142</v>
      </c>
      <c r="B39" s="547">
        <f t="shared" ref="B39:U39" si="15">IF($B126&gt;=0.9, B$36,B$36*$B126)</f>
        <v>0.44051459636877988</v>
      </c>
      <c r="C39" s="547">
        <f t="shared" si="15"/>
        <v>0.38545027182268243</v>
      </c>
      <c r="D39" s="547">
        <f t="shared" si="15"/>
        <v>0.49557892091487732</v>
      </c>
      <c r="E39" s="547">
        <f t="shared" si="15"/>
        <v>0.49557892091487732</v>
      </c>
      <c r="F39" s="547">
        <f t="shared" si="15"/>
        <v>0.55064324546097487</v>
      </c>
      <c r="G39" s="547">
        <f t="shared" si="15"/>
        <v>0.55064324546097487</v>
      </c>
      <c r="H39" s="547">
        <f t="shared" si="15"/>
        <v>0.55064324546097487</v>
      </c>
      <c r="I39" s="547">
        <f t="shared" si="15"/>
        <v>0.55064324546097487</v>
      </c>
      <c r="J39" s="547">
        <f t="shared" si="15"/>
        <v>0.55064324546097487</v>
      </c>
      <c r="K39" s="547">
        <f t="shared" si="15"/>
        <v>0.55064324546097487</v>
      </c>
      <c r="L39" s="547">
        <f t="shared" si="15"/>
        <v>0.55064324546097487</v>
      </c>
      <c r="M39" s="547">
        <f t="shared" si="15"/>
        <v>0.38545027182268243</v>
      </c>
      <c r="N39" s="548">
        <f t="shared" si="15"/>
        <v>0.38545027182268243</v>
      </c>
      <c r="O39" s="549">
        <f t="shared" si="15"/>
        <v>0.44051459636877988</v>
      </c>
      <c r="P39" s="547">
        <f t="shared" si="15"/>
        <v>0.38545027182268243</v>
      </c>
      <c r="Q39" s="547">
        <f t="shared" si="15"/>
        <v>0.49557892091487732</v>
      </c>
      <c r="R39" s="547">
        <f t="shared" si="15"/>
        <v>0.49557892091487732</v>
      </c>
      <c r="S39" s="547">
        <f t="shared" si="15"/>
        <v>0.55064324546097487</v>
      </c>
      <c r="T39" s="548">
        <f t="shared" si="15"/>
        <v>0.55064324546097487</v>
      </c>
      <c r="U39" s="549">
        <f t="shared" si="15"/>
        <v>0.38545027182268243</v>
      </c>
      <c r="V39" s="65"/>
      <c r="W39" s="65"/>
      <c r="X39" s="65"/>
      <c r="Y39" s="65"/>
      <c r="Z39" s="65"/>
      <c r="AA39" s="65"/>
      <c r="AB39" s="65"/>
      <c r="AC39" s="65"/>
      <c r="AD39" s="65"/>
      <c r="AE39" s="65"/>
      <c r="AF39" s="65"/>
      <c r="AG39" s="65"/>
      <c r="AH39" s="65"/>
      <c r="AI39" s="65"/>
      <c r="AJ39" s="10"/>
      <c r="AK39" s="10"/>
      <c r="AL39" s="10"/>
      <c r="AM39" s="10"/>
      <c r="AN39" s="10"/>
      <c r="AO39" s="10"/>
      <c r="AP39" s="10"/>
      <c r="AQ39" s="10"/>
      <c r="AR39" s="10"/>
      <c r="AS39" s="10"/>
      <c r="AT39" s="10"/>
      <c r="AU39" s="10"/>
      <c r="AV39" s="10"/>
      <c r="AW39" s="10"/>
      <c r="AX39" s="10"/>
    </row>
    <row r="40" spans="1:50" ht="12" x14ac:dyDescent="0.2">
      <c r="A40" s="546" t="s">
        <v>143</v>
      </c>
      <c r="B40" s="547">
        <f t="shared" ref="B40:U40" si="16">IF($B127&gt;=0.9, B$36,B$36*$B127)</f>
        <v>0.33539117811406161</v>
      </c>
      <c r="C40" s="547">
        <f t="shared" si="16"/>
        <v>0.29346728084980389</v>
      </c>
      <c r="D40" s="547">
        <f t="shared" si="16"/>
        <v>0.37731507537831926</v>
      </c>
      <c r="E40" s="547">
        <f t="shared" si="16"/>
        <v>0.37731507537831926</v>
      </c>
      <c r="F40" s="547">
        <f t="shared" si="16"/>
        <v>0.41923897264257698</v>
      </c>
      <c r="G40" s="547">
        <f t="shared" si="16"/>
        <v>0.41923897264257698</v>
      </c>
      <c r="H40" s="547">
        <f t="shared" si="16"/>
        <v>0.41923897264257698</v>
      </c>
      <c r="I40" s="547">
        <f t="shared" si="16"/>
        <v>0.41923897264257698</v>
      </c>
      <c r="J40" s="547">
        <f t="shared" si="16"/>
        <v>0.41923897264257698</v>
      </c>
      <c r="K40" s="547">
        <f t="shared" si="16"/>
        <v>0.41923897264257698</v>
      </c>
      <c r="L40" s="547">
        <f t="shared" si="16"/>
        <v>0.41923897264257698</v>
      </c>
      <c r="M40" s="547">
        <f t="shared" si="16"/>
        <v>0.29346728084980389</v>
      </c>
      <c r="N40" s="548">
        <f t="shared" si="16"/>
        <v>0.29346728084980389</v>
      </c>
      <c r="O40" s="549">
        <f t="shared" si="16"/>
        <v>0.33539117811406161</v>
      </c>
      <c r="P40" s="547">
        <f t="shared" si="16"/>
        <v>0.29346728084980389</v>
      </c>
      <c r="Q40" s="547">
        <f t="shared" si="16"/>
        <v>0.37731507537831926</v>
      </c>
      <c r="R40" s="547">
        <f t="shared" si="16"/>
        <v>0.37731507537831926</v>
      </c>
      <c r="S40" s="547">
        <f t="shared" si="16"/>
        <v>0.41923897264257698</v>
      </c>
      <c r="T40" s="548">
        <f t="shared" si="16"/>
        <v>0.41923897264257698</v>
      </c>
      <c r="U40" s="549">
        <f t="shared" si="16"/>
        <v>0.29346728084980389</v>
      </c>
      <c r="V40" s="65"/>
      <c r="W40" s="65"/>
      <c r="X40" s="65"/>
      <c r="Y40" s="65"/>
      <c r="Z40" s="65"/>
      <c r="AA40" s="65"/>
      <c r="AB40" s="65"/>
      <c r="AC40" s="65"/>
      <c r="AD40" s="65"/>
      <c r="AE40" s="65"/>
      <c r="AF40" s="65"/>
      <c r="AG40" s="65"/>
      <c r="AH40" s="65"/>
      <c r="AI40" s="65"/>
      <c r="AJ40" s="10"/>
      <c r="AK40" s="10"/>
      <c r="AL40" s="10"/>
      <c r="AM40" s="10"/>
      <c r="AN40" s="10"/>
      <c r="AO40" s="10"/>
      <c r="AP40" s="10"/>
      <c r="AQ40" s="10"/>
      <c r="AR40" s="10"/>
      <c r="AS40" s="10"/>
      <c r="AT40" s="10"/>
      <c r="AU40" s="10"/>
      <c r="AV40" s="10"/>
      <c r="AW40" s="10"/>
      <c r="AX40" s="10"/>
    </row>
    <row r="41" spans="1:50" ht="12" x14ac:dyDescent="0.2">
      <c r="A41" s="550" t="s">
        <v>144</v>
      </c>
      <c r="B41" s="547">
        <f t="shared" ref="B41:U41" si="17">IF($B128&gt;=0.9, B$36,B$36*$B128)</f>
        <v>0.33508558678192585</v>
      </c>
      <c r="C41" s="547">
        <f t="shared" si="17"/>
        <v>0.29319988843418515</v>
      </c>
      <c r="D41" s="547">
        <f t="shared" si="17"/>
        <v>0.3769712851296666</v>
      </c>
      <c r="E41" s="547">
        <f t="shared" si="17"/>
        <v>0.3769712851296666</v>
      </c>
      <c r="F41" s="547">
        <f t="shared" si="17"/>
        <v>0.41885698347740735</v>
      </c>
      <c r="G41" s="547">
        <f t="shared" si="17"/>
        <v>0.41885698347740735</v>
      </c>
      <c r="H41" s="547">
        <f t="shared" si="17"/>
        <v>0.41885698347740735</v>
      </c>
      <c r="I41" s="547">
        <f t="shared" si="17"/>
        <v>0.41885698347740735</v>
      </c>
      <c r="J41" s="547">
        <f t="shared" si="17"/>
        <v>0.41885698347740735</v>
      </c>
      <c r="K41" s="547">
        <f t="shared" si="17"/>
        <v>0.41885698347740735</v>
      </c>
      <c r="L41" s="547">
        <f t="shared" si="17"/>
        <v>0.41885698347740735</v>
      </c>
      <c r="M41" s="547">
        <f t="shared" si="17"/>
        <v>0.29319988843418515</v>
      </c>
      <c r="N41" s="548">
        <f t="shared" si="17"/>
        <v>0.29319988843418515</v>
      </c>
      <c r="O41" s="549">
        <f t="shared" si="17"/>
        <v>0.33508558678192585</v>
      </c>
      <c r="P41" s="547">
        <f t="shared" si="17"/>
        <v>0.29319988843418515</v>
      </c>
      <c r="Q41" s="547">
        <f t="shared" si="17"/>
        <v>0.3769712851296666</v>
      </c>
      <c r="R41" s="547">
        <f t="shared" si="17"/>
        <v>0.3769712851296666</v>
      </c>
      <c r="S41" s="547">
        <f t="shared" si="17"/>
        <v>0.41885698347740735</v>
      </c>
      <c r="T41" s="548">
        <f t="shared" si="17"/>
        <v>0.41885698347740735</v>
      </c>
      <c r="U41" s="549">
        <f t="shared" si="17"/>
        <v>0.29319988843418515</v>
      </c>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1:50" ht="12" x14ac:dyDescent="0.2">
      <c r="A42" s="550" t="s">
        <v>145</v>
      </c>
      <c r="B42" s="547">
        <f t="shared" ref="B42:U42" si="18">IF($B129&gt;=0.9, B$36,B$36*$B129)</f>
        <v>0.23128639763312925</v>
      </c>
      <c r="C42" s="547">
        <f t="shared" si="18"/>
        <v>0.20237559792898813</v>
      </c>
      <c r="D42" s="547">
        <f t="shared" si="18"/>
        <v>0.26019719733727042</v>
      </c>
      <c r="E42" s="547">
        <f t="shared" si="18"/>
        <v>0.26019719733727042</v>
      </c>
      <c r="F42" s="547">
        <f t="shared" si="18"/>
        <v>0.2891079970414116</v>
      </c>
      <c r="G42" s="547">
        <f t="shared" si="18"/>
        <v>0.2891079970414116</v>
      </c>
      <c r="H42" s="547">
        <f t="shared" si="18"/>
        <v>0.2891079970414116</v>
      </c>
      <c r="I42" s="547">
        <f t="shared" si="18"/>
        <v>0.2891079970414116</v>
      </c>
      <c r="J42" s="547">
        <f t="shared" si="18"/>
        <v>0.2891079970414116</v>
      </c>
      <c r="K42" s="547">
        <f t="shared" si="18"/>
        <v>0.2891079970414116</v>
      </c>
      <c r="L42" s="547">
        <f t="shared" si="18"/>
        <v>0.2891079970414116</v>
      </c>
      <c r="M42" s="547">
        <f t="shared" si="18"/>
        <v>0.20237559792898813</v>
      </c>
      <c r="N42" s="548">
        <f t="shared" si="18"/>
        <v>0.20237559792898813</v>
      </c>
      <c r="O42" s="549">
        <f t="shared" si="18"/>
        <v>0.23128639763312925</v>
      </c>
      <c r="P42" s="547">
        <f t="shared" si="18"/>
        <v>0.20237559792898813</v>
      </c>
      <c r="Q42" s="547">
        <f t="shared" si="18"/>
        <v>0.26019719733727042</v>
      </c>
      <c r="R42" s="547">
        <f t="shared" si="18"/>
        <v>0.26019719733727042</v>
      </c>
      <c r="S42" s="547">
        <f t="shared" si="18"/>
        <v>0.2891079970414116</v>
      </c>
      <c r="T42" s="548">
        <f t="shared" si="18"/>
        <v>0.2891079970414116</v>
      </c>
      <c r="U42" s="549">
        <f t="shared" si="18"/>
        <v>0.20237559792898813</v>
      </c>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1:50" s="11" customFormat="1" ht="12" x14ac:dyDescent="0.2">
      <c r="A43" s="551" t="s">
        <v>146</v>
      </c>
      <c r="B43" s="547">
        <f t="shared" ref="B43:U43" si="19">IF($B130&gt;=0.9, B$36,B$36*$B130)</f>
        <v>0.28935612245966441</v>
      </c>
      <c r="C43" s="547">
        <f t="shared" si="19"/>
        <v>0.25318660715220637</v>
      </c>
      <c r="D43" s="547">
        <f t="shared" si="19"/>
        <v>0.32552563776712246</v>
      </c>
      <c r="E43" s="547">
        <f t="shared" si="19"/>
        <v>0.32552563776712246</v>
      </c>
      <c r="F43" s="547">
        <f t="shared" si="19"/>
        <v>0.3616951530745805</v>
      </c>
      <c r="G43" s="547">
        <f t="shared" si="19"/>
        <v>0.3616951530745805</v>
      </c>
      <c r="H43" s="547">
        <f t="shared" si="19"/>
        <v>0.3616951530745805</v>
      </c>
      <c r="I43" s="547">
        <f t="shared" si="19"/>
        <v>0.3616951530745805</v>
      </c>
      <c r="J43" s="547">
        <f t="shared" si="19"/>
        <v>0.3616951530745805</v>
      </c>
      <c r="K43" s="547">
        <f t="shared" si="19"/>
        <v>0.3616951530745805</v>
      </c>
      <c r="L43" s="547">
        <f t="shared" si="19"/>
        <v>0.3616951530745805</v>
      </c>
      <c r="M43" s="547">
        <f t="shared" si="19"/>
        <v>0.25318660715220637</v>
      </c>
      <c r="N43" s="548">
        <f t="shared" si="19"/>
        <v>0.25318660715220637</v>
      </c>
      <c r="O43" s="549">
        <f t="shared" si="19"/>
        <v>0.28935612245966441</v>
      </c>
      <c r="P43" s="547">
        <f t="shared" si="19"/>
        <v>0.25318660715220637</v>
      </c>
      <c r="Q43" s="547">
        <f t="shared" si="19"/>
        <v>0.32552563776712246</v>
      </c>
      <c r="R43" s="547">
        <f t="shared" si="19"/>
        <v>0.32552563776712246</v>
      </c>
      <c r="S43" s="547">
        <f t="shared" si="19"/>
        <v>0.3616951530745805</v>
      </c>
      <c r="T43" s="548">
        <f t="shared" si="19"/>
        <v>0.3616951530745805</v>
      </c>
      <c r="U43" s="549">
        <f t="shared" si="19"/>
        <v>0.25318660715220637</v>
      </c>
      <c r="V43" s="185"/>
      <c r="W43" s="185"/>
      <c r="X43" s="185"/>
      <c r="Y43" s="185"/>
      <c r="Z43" s="185"/>
      <c r="AA43" s="185"/>
      <c r="AB43" s="185"/>
      <c r="AC43" s="185"/>
      <c r="AD43" s="185"/>
      <c r="AE43" s="185"/>
      <c r="AF43" s="185"/>
      <c r="AG43" s="185"/>
      <c r="AH43" s="185"/>
      <c r="AI43" s="185"/>
    </row>
    <row r="44" spans="1:50" ht="12" x14ac:dyDescent="0.2">
      <c r="A44" s="550" t="s">
        <v>147</v>
      </c>
      <c r="B44" s="547">
        <f t="shared" ref="B44:U44" si="20">IF($B131&gt;=0.9, B$36,B$36*$B131)</f>
        <v>0.16491745557595841</v>
      </c>
      <c r="C44" s="547">
        <f t="shared" si="20"/>
        <v>0.14430277362896363</v>
      </c>
      <c r="D44" s="547">
        <f t="shared" si="20"/>
        <v>0.18553213752295322</v>
      </c>
      <c r="E44" s="547">
        <f t="shared" si="20"/>
        <v>0.18553213752295322</v>
      </c>
      <c r="F44" s="547">
        <f t="shared" si="20"/>
        <v>0.20614681946994803</v>
      </c>
      <c r="G44" s="547">
        <f t="shared" si="20"/>
        <v>0.20614681946994803</v>
      </c>
      <c r="H44" s="547">
        <f t="shared" si="20"/>
        <v>0.20614681946994803</v>
      </c>
      <c r="I44" s="547">
        <f t="shared" si="20"/>
        <v>0.20614681946994803</v>
      </c>
      <c r="J44" s="547">
        <f t="shared" si="20"/>
        <v>0.20614681946994803</v>
      </c>
      <c r="K44" s="547">
        <f t="shared" si="20"/>
        <v>0.20614681946994803</v>
      </c>
      <c r="L44" s="547">
        <f t="shared" si="20"/>
        <v>0.20614681946994803</v>
      </c>
      <c r="M44" s="547">
        <f t="shared" si="20"/>
        <v>0.14430277362896363</v>
      </c>
      <c r="N44" s="548">
        <f t="shared" si="20"/>
        <v>0.14430277362896363</v>
      </c>
      <c r="O44" s="549">
        <f t="shared" si="20"/>
        <v>0.16491745557595841</v>
      </c>
      <c r="P44" s="547">
        <f t="shared" si="20"/>
        <v>0.14430277362896363</v>
      </c>
      <c r="Q44" s="547">
        <f t="shared" si="20"/>
        <v>0.18553213752295322</v>
      </c>
      <c r="R44" s="547">
        <f t="shared" si="20"/>
        <v>0.18553213752295322</v>
      </c>
      <c r="S44" s="547">
        <f t="shared" si="20"/>
        <v>0.20614681946994803</v>
      </c>
      <c r="T44" s="548">
        <f t="shared" si="20"/>
        <v>0.20614681946994803</v>
      </c>
      <c r="U44" s="549">
        <f t="shared" si="20"/>
        <v>0.14430277362896363</v>
      </c>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1:50" s="10" customFormat="1" ht="12" x14ac:dyDescent="0.2">
      <c r="A45" s="550" t="s">
        <v>148</v>
      </c>
      <c r="B45" s="547">
        <f t="shared" ref="B45:U45" si="21">IF($B132&gt;=0.9, B$36,B$36*$B132)</f>
        <v>0.54867449340838292</v>
      </c>
      <c r="C45" s="547">
        <f t="shared" si="21"/>
        <v>0.48009018173233509</v>
      </c>
      <c r="D45" s="547">
        <f t="shared" si="21"/>
        <v>0.61725880508443076</v>
      </c>
      <c r="E45" s="547">
        <f t="shared" si="21"/>
        <v>0.61725880508443076</v>
      </c>
      <c r="F45" s="547">
        <f t="shared" si="21"/>
        <v>0.68584311676047871</v>
      </c>
      <c r="G45" s="547">
        <f t="shared" si="21"/>
        <v>0.68584311676047871</v>
      </c>
      <c r="H45" s="547">
        <f t="shared" si="21"/>
        <v>0.68584311676047871</v>
      </c>
      <c r="I45" s="547">
        <f t="shared" si="21"/>
        <v>0.68584311676047871</v>
      </c>
      <c r="J45" s="547">
        <f t="shared" si="21"/>
        <v>0.68584311676047871</v>
      </c>
      <c r="K45" s="547">
        <f t="shared" si="21"/>
        <v>0.68584311676047871</v>
      </c>
      <c r="L45" s="547">
        <f t="shared" si="21"/>
        <v>0.68584311676047871</v>
      </c>
      <c r="M45" s="547">
        <f t="shared" si="21"/>
        <v>0.48009018173233509</v>
      </c>
      <c r="N45" s="548">
        <f t="shared" si="21"/>
        <v>0.48009018173233509</v>
      </c>
      <c r="O45" s="549">
        <f t="shared" si="21"/>
        <v>0.54867449340838292</v>
      </c>
      <c r="P45" s="547">
        <f t="shared" si="21"/>
        <v>0.48009018173233509</v>
      </c>
      <c r="Q45" s="547">
        <f t="shared" si="21"/>
        <v>0.61725880508443076</v>
      </c>
      <c r="R45" s="547">
        <f t="shared" si="21"/>
        <v>0.61725880508443076</v>
      </c>
      <c r="S45" s="547">
        <f t="shared" si="21"/>
        <v>0.68584311676047871</v>
      </c>
      <c r="T45" s="548">
        <f t="shared" si="21"/>
        <v>0.68584311676047871</v>
      </c>
      <c r="U45" s="549">
        <f t="shared" si="21"/>
        <v>0.48009018173233509</v>
      </c>
      <c r="V45" s="65"/>
      <c r="W45" s="65"/>
      <c r="X45" s="65"/>
      <c r="Y45" s="65"/>
      <c r="Z45" s="65"/>
      <c r="AA45" s="65"/>
      <c r="AB45" s="65"/>
      <c r="AC45" s="65"/>
      <c r="AD45" s="65"/>
      <c r="AE45" s="65"/>
      <c r="AF45" s="65"/>
      <c r="AG45" s="65"/>
      <c r="AH45" s="65"/>
      <c r="AI45" s="65"/>
    </row>
    <row r="46" spans="1:50" s="10" customFormat="1" ht="12" x14ac:dyDescent="0.2">
      <c r="A46" s="550" t="s">
        <v>149</v>
      </c>
      <c r="B46" s="547">
        <f t="shared" ref="B46:U46" si="22">IF($B133&gt;=0.9, B$36,B$36*$B133)</f>
        <v>0.21295085678166889</v>
      </c>
      <c r="C46" s="547">
        <f t="shared" si="22"/>
        <v>0.1863319996839603</v>
      </c>
      <c r="D46" s="547">
        <f t="shared" si="22"/>
        <v>0.23956971387937748</v>
      </c>
      <c r="E46" s="547">
        <f t="shared" si="22"/>
        <v>0.23956971387937748</v>
      </c>
      <c r="F46" s="547">
        <f t="shared" si="22"/>
        <v>0.26618857097708609</v>
      </c>
      <c r="G46" s="547">
        <f t="shared" si="22"/>
        <v>0.26618857097708609</v>
      </c>
      <c r="H46" s="547">
        <f t="shared" si="22"/>
        <v>0.26618857097708609</v>
      </c>
      <c r="I46" s="547">
        <f t="shared" si="22"/>
        <v>0.26618857097708609</v>
      </c>
      <c r="J46" s="547">
        <f t="shared" si="22"/>
        <v>0.26618857097708609</v>
      </c>
      <c r="K46" s="547">
        <f t="shared" si="22"/>
        <v>0.26618857097708609</v>
      </c>
      <c r="L46" s="547">
        <f t="shared" si="22"/>
        <v>0.26618857097708609</v>
      </c>
      <c r="M46" s="547">
        <f t="shared" si="22"/>
        <v>0.1863319996839603</v>
      </c>
      <c r="N46" s="548">
        <f t="shared" si="22"/>
        <v>0.1863319996839603</v>
      </c>
      <c r="O46" s="549">
        <f t="shared" si="22"/>
        <v>0.21295085678166889</v>
      </c>
      <c r="P46" s="547">
        <f t="shared" si="22"/>
        <v>0.1863319996839603</v>
      </c>
      <c r="Q46" s="547">
        <f t="shared" si="22"/>
        <v>0.23956971387937748</v>
      </c>
      <c r="R46" s="547">
        <f t="shared" si="22"/>
        <v>0.23956971387937748</v>
      </c>
      <c r="S46" s="547">
        <f t="shared" si="22"/>
        <v>0.26618857097708609</v>
      </c>
      <c r="T46" s="548">
        <f t="shared" si="22"/>
        <v>0.26618857097708609</v>
      </c>
      <c r="U46" s="549">
        <f t="shared" si="22"/>
        <v>0.1863319996839603</v>
      </c>
      <c r="V46" s="65"/>
      <c r="W46" s="65"/>
      <c r="X46" s="65"/>
      <c r="Y46" s="65"/>
      <c r="Z46" s="65"/>
      <c r="AA46" s="65"/>
      <c r="AB46" s="65"/>
      <c r="AC46" s="65"/>
      <c r="AD46" s="65"/>
      <c r="AE46" s="65"/>
      <c r="AF46" s="65"/>
      <c r="AG46" s="65"/>
      <c r="AH46" s="65"/>
      <c r="AI46" s="65"/>
    </row>
    <row r="47" spans="1:50" s="10" customFormat="1" ht="12" x14ac:dyDescent="0.2">
      <c r="A47" s="550" t="s">
        <v>150</v>
      </c>
      <c r="B47" s="547">
        <f>IF(B$13="Deploy",B$36,IF($B134&gt;=0.9, B$36,B$36*$B129))</f>
        <v>0.23128639763312925</v>
      </c>
      <c r="C47" s="547">
        <f t="shared" ref="C47:N47" si="23">IF(C$13="Deploy",C$36,IF($B134&gt;=0.9, C$36,C$36*$B129))</f>
        <v>0.20237559792898813</v>
      </c>
      <c r="D47" s="547">
        <f t="shared" si="23"/>
        <v>0.26019719733727042</v>
      </c>
      <c r="E47" s="547">
        <f t="shared" si="23"/>
        <v>0.26019719733727042</v>
      </c>
      <c r="F47" s="547">
        <f t="shared" si="23"/>
        <v>0.2891079970414116</v>
      </c>
      <c r="G47" s="547">
        <f t="shared" si="23"/>
        <v>0.8</v>
      </c>
      <c r="H47" s="547">
        <f t="shared" si="23"/>
        <v>0.8</v>
      </c>
      <c r="I47" s="547">
        <f t="shared" si="23"/>
        <v>0.2891079970414116</v>
      </c>
      <c r="J47" s="547">
        <f t="shared" si="23"/>
        <v>0.8</v>
      </c>
      <c r="K47" s="547">
        <f t="shared" si="23"/>
        <v>0.8</v>
      </c>
      <c r="L47" s="547">
        <f t="shared" si="23"/>
        <v>0.8</v>
      </c>
      <c r="M47" s="547">
        <f t="shared" si="23"/>
        <v>0.20237559792898813</v>
      </c>
      <c r="N47" s="548">
        <f t="shared" si="23"/>
        <v>0.20237559792898813</v>
      </c>
      <c r="O47" s="549">
        <f>O36</f>
        <v>0.64</v>
      </c>
      <c r="P47" s="547">
        <f t="shared" ref="P47:T47" si="24">P36</f>
        <v>0.56000000000000005</v>
      </c>
      <c r="Q47" s="547">
        <f t="shared" si="24"/>
        <v>0.72</v>
      </c>
      <c r="R47" s="547">
        <f t="shared" si="24"/>
        <v>0.72</v>
      </c>
      <c r="S47" s="547">
        <f t="shared" si="24"/>
        <v>0.8</v>
      </c>
      <c r="T47" s="548">
        <f t="shared" si="24"/>
        <v>0.8</v>
      </c>
      <c r="U47" s="549">
        <f t="shared" ref="U47" si="25">IF($B134&gt;=0.9, U$36,U$36*$B134)</f>
        <v>9.9162072192220646E-2</v>
      </c>
      <c r="V47" s="65"/>
      <c r="W47" s="65"/>
      <c r="X47" s="65"/>
      <c r="Y47" s="65"/>
      <c r="Z47" s="65"/>
      <c r="AA47" s="65"/>
      <c r="AB47" s="65"/>
      <c r="AC47" s="65"/>
      <c r="AD47" s="65"/>
      <c r="AE47" s="65"/>
      <c r="AF47" s="65"/>
      <c r="AG47" s="65"/>
      <c r="AH47" s="65"/>
      <c r="AI47" s="65"/>
    </row>
    <row r="48" spans="1:50" s="10" customFormat="1" ht="12.75" x14ac:dyDescent="0.2">
      <c r="A48" s="552" t="s">
        <v>151</v>
      </c>
      <c r="B48" s="547">
        <f t="shared" ref="B48:U48" si="26">IF($B135&gt;=0.9, B$36,B$36*$B135)</f>
        <v>0.64</v>
      </c>
      <c r="C48" s="547">
        <f t="shared" si="26"/>
        <v>0.56000000000000005</v>
      </c>
      <c r="D48" s="547">
        <f t="shared" si="26"/>
        <v>0.72</v>
      </c>
      <c r="E48" s="547">
        <f t="shared" si="26"/>
        <v>0.72</v>
      </c>
      <c r="F48" s="547">
        <f t="shared" si="26"/>
        <v>0.8</v>
      </c>
      <c r="G48" s="547">
        <f t="shared" si="26"/>
        <v>0.8</v>
      </c>
      <c r="H48" s="547">
        <f t="shared" si="26"/>
        <v>0.8</v>
      </c>
      <c r="I48" s="547">
        <f t="shared" si="26"/>
        <v>0.8</v>
      </c>
      <c r="J48" s="547">
        <f t="shared" si="26"/>
        <v>0.8</v>
      </c>
      <c r="K48" s="547">
        <f t="shared" si="26"/>
        <v>0.8</v>
      </c>
      <c r="L48" s="547">
        <f t="shared" si="26"/>
        <v>0.8</v>
      </c>
      <c r="M48" s="547">
        <f t="shared" si="26"/>
        <v>0.56000000000000005</v>
      </c>
      <c r="N48" s="548">
        <f t="shared" si="26"/>
        <v>0.56000000000000005</v>
      </c>
      <c r="O48" s="549">
        <f t="shared" si="26"/>
        <v>0.64</v>
      </c>
      <c r="P48" s="547">
        <f t="shared" si="26"/>
        <v>0.56000000000000005</v>
      </c>
      <c r="Q48" s="547">
        <f t="shared" si="26"/>
        <v>0.72</v>
      </c>
      <c r="R48" s="547">
        <f t="shared" si="26"/>
        <v>0.72</v>
      </c>
      <c r="S48" s="547">
        <f t="shared" si="26"/>
        <v>0.8</v>
      </c>
      <c r="T48" s="548">
        <f t="shared" si="26"/>
        <v>0.8</v>
      </c>
      <c r="U48" s="549">
        <f t="shared" si="26"/>
        <v>0.56000000000000005</v>
      </c>
      <c r="V48" s="65"/>
      <c r="W48" s="65"/>
      <c r="X48" s="65"/>
      <c r="Y48" s="65"/>
      <c r="Z48" s="65"/>
      <c r="AA48" s="65"/>
      <c r="AB48" s="65"/>
      <c r="AC48" s="65"/>
      <c r="AD48" s="65"/>
      <c r="AE48" s="65"/>
      <c r="AF48" s="65"/>
      <c r="AG48" s="65"/>
      <c r="AH48" s="65"/>
      <c r="AI48" s="65"/>
    </row>
    <row r="49" spans="1:50" s="10" customFormat="1" ht="12" x14ac:dyDescent="0.2">
      <c r="A49" s="194" t="s">
        <v>152</v>
      </c>
      <c r="B49" s="351"/>
      <c r="C49" s="351"/>
      <c r="D49" s="351"/>
      <c r="E49" s="351"/>
      <c r="F49" s="351"/>
      <c r="G49" s="351"/>
      <c r="H49" s="351"/>
      <c r="I49" s="351"/>
      <c r="J49" s="351"/>
      <c r="K49" s="351"/>
      <c r="L49" s="351"/>
      <c r="M49" s="351"/>
      <c r="N49" s="622"/>
      <c r="O49" s="188"/>
      <c r="P49" s="622"/>
      <c r="Q49" s="622"/>
      <c r="R49" s="622"/>
      <c r="S49" s="622"/>
      <c r="T49" s="660"/>
      <c r="U49" s="647"/>
      <c r="V49" s="193"/>
      <c r="W49" s="193"/>
      <c r="X49" s="193"/>
      <c r="Y49" s="193"/>
      <c r="Z49" s="193"/>
      <c r="AA49" s="193"/>
      <c r="AB49" s="193"/>
      <c r="AC49" s="193"/>
      <c r="AD49" s="193"/>
      <c r="AE49" s="193"/>
      <c r="AF49" s="193"/>
      <c r="AG49" s="193"/>
      <c r="AH49" s="65"/>
      <c r="AI49" s="65"/>
      <c r="AJ49" s="65"/>
      <c r="AK49" s="65"/>
      <c r="AL49" s="65"/>
      <c r="AM49" s="65"/>
      <c r="AN49" s="65"/>
      <c r="AO49" s="65"/>
      <c r="AP49" s="65"/>
      <c r="AQ49" s="65"/>
      <c r="AR49" s="65"/>
      <c r="AS49" s="65"/>
      <c r="AT49" s="65"/>
      <c r="AU49" s="65"/>
      <c r="AV49" s="65"/>
      <c r="AW49" s="65"/>
      <c r="AX49" s="65"/>
    </row>
    <row r="50" spans="1:50" s="10" customFormat="1" ht="12" x14ac:dyDescent="0.2">
      <c r="A50" s="616" t="s">
        <v>210</v>
      </c>
      <c r="B50" s="123">
        <f t="shared" ref="B50:U50" si="27">ROUND(B51/0.75,2)</f>
        <v>0.35</v>
      </c>
      <c r="C50" s="123">
        <f t="shared" si="27"/>
        <v>0.15</v>
      </c>
      <c r="D50" s="123">
        <f t="shared" si="27"/>
        <v>0.53</v>
      </c>
      <c r="E50" s="123">
        <f t="shared" si="27"/>
        <v>0.53</v>
      </c>
      <c r="F50" s="123">
        <f t="shared" si="27"/>
        <v>0.64</v>
      </c>
      <c r="G50" s="123">
        <f t="shared" si="27"/>
        <v>1.07</v>
      </c>
      <c r="H50" s="123">
        <f t="shared" si="27"/>
        <v>1.07</v>
      </c>
      <c r="I50" s="123">
        <f t="shared" si="27"/>
        <v>0.64</v>
      </c>
      <c r="J50" s="123">
        <f t="shared" si="27"/>
        <v>1.07</v>
      </c>
      <c r="K50" s="123">
        <f t="shared" si="27"/>
        <v>1.07</v>
      </c>
      <c r="L50" s="123">
        <f t="shared" si="27"/>
        <v>1.07</v>
      </c>
      <c r="M50" s="123">
        <f t="shared" si="27"/>
        <v>0.15</v>
      </c>
      <c r="N50" s="192">
        <f t="shared" si="27"/>
        <v>0.15</v>
      </c>
      <c r="O50" s="191">
        <f t="shared" si="27"/>
        <v>0.51</v>
      </c>
      <c r="P50" s="617">
        <f t="shared" si="27"/>
        <v>0.45</v>
      </c>
      <c r="Q50" s="617">
        <f t="shared" si="27"/>
        <v>0.57999999999999996</v>
      </c>
      <c r="R50" s="617">
        <f t="shared" si="27"/>
        <v>0.57999999999999996</v>
      </c>
      <c r="S50" s="617">
        <f t="shared" si="27"/>
        <v>0.64</v>
      </c>
      <c r="T50" s="646">
        <f t="shared" si="27"/>
        <v>0.64</v>
      </c>
      <c r="U50" s="118">
        <f t="shared" si="27"/>
        <v>0.15</v>
      </c>
      <c r="V50" s="65"/>
      <c r="W50" s="65"/>
      <c r="X50" s="65"/>
      <c r="Y50" s="65"/>
      <c r="Z50" s="65"/>
      <c r="AA50" s="65"/>
      <c r="AB50" s="65"/>
      <c r="AC50" s="65"/>
      <c r="AD50" s="65"/>
      <c r="AE50" s="65"/>
      <c r="AF50" s="65"/>
      <c r="AG50" s="65"/>
      <c r="AH50" s="65"/>
      <c r="AI50" s="65"/>
    </row>
    <row r="51" spans="1:50" s="10" customFormat="1" ht="12" x14ac:dyDescent="0.2">
      <c r="A51" s="616" t="s">
        <v>154</v>
      </c>
      <c r="B51" s="123">
        <f t="shared" ref="B51:N51" si="28">IF(B$13="Deploy",B$36,ROUND(IF(B$36*VLOOKUP(B$13,$L$3:$O$7,4,FALSE)&lt;0.01,0.01,B$36*VLOOKUP(B$13,$L$3:$O$7,4,FALSE)),2))</f>
        <v>0.26</v>
      </c>
      <c r="C51" s="617">
        <f t="shared" si="28"/>
        <v>0.11</v>
      </c>
      <c r="D51" s="617">
        <f t="shared" si="28"/>
        <v>0.4</v>
      </c>
      <c r="E51" s="617">
        <f t="shared" si="28"/>
        <v>0.4</v>
      </c>
      <c r="F51" s="617">
        <f t="shared" si="28"/>
        <v>0.48</v>
      </c>
      <c r="G51" s="617">
        <f t="shared" si="28"/>
        <v>0.8</v>
      </c>
      <c r="H51" s="617">
        <f t="shared" si="28"/>
        <v>0.8</v>
      </c>
      <c r="I51" s="617">
        <f t="shared" si="28"/>
        <v>0.48</v>
      </c>
      <c r="J51" s="617">
        <f t="shared" si="28"/>
        <v>0.8</v>
      </c>
      <c r="K51" s="617">
        <f t="shared" si="28"/>
        <v>0.8</v>
      </c>
      <c r="L51" s="617">
        <f t="shared" si="28"/>
        <v>0.8</v>
      </c>
      <c r="M51" s="617">
        <f t="shared" si="28"/>
        <v>0.11</v>
      </c>
      <c r="N51" s="618">
        <f t="shared" si="28"/>
        <v>0.11</v>
      </c>
      <c r="O51" s="188">
        <f t="shared" ref="O51:T51" si="29">IF(O$36*$O$7&lt;0.01,0.01,O$36*$O$7)</f>
        <v>0.38400000000000001</v>
      </c>
      <c r="P51" s="617">
        <f t="shared" si="29"/>
        <v>0.33600000000000002</v>
      </c>
      <c r="Q51" s="617">
        <f t="shared" si="29"/>
        <v>0.432</v>
      </c>
      <c r="R51" s="617">
        <f t="shared" si="29"/>
        <v>0.432</v>
      </c>
      <c r="S51" s="617">
        <f t="shared" si="29"/>
        <v>0.48</v>
      </c>
      <c r="T51" s="646">
        <f t="shared" si="29"/>
        <v>0.48</v>
      </c>
      <c r="U51" s="647">
        <f>ROUND(IF(U$36*$O$3&lt;0.01,0.01,U$36*$O$3),2)</f>
        <v>0.11</v>
      </c>
      <c r="V51" s="65"/>
      <c r="W51" s="65"/>
      <c r="X51" s="65"/>
      <c r="Y51" s="65"/>
      <c r="Z51" s="65"/>
      <c r="AA51" s="65"/>
      <c r="AB51" s="65"/>
      <c r="AC51" s="65"/>
      <c r="AD51" s="65"/>
      <c r="AE51" s="65"/>
      <c r="AF51" s="65"/>
      <c r="AG51" s="65"/>
      <c r="AH51" s="65"/>
      <c r="AI51" s="65"/>
    </row>
    <row r="52" spans="1:50" ht="12.75" x14ac:dyDescent="0.2">
      <c r="A52" s="528" t="s">
        <v>155</v>
      </c>
      <c r="B52" s="661"/>
      <c r="C52" s="661"/>
      <c r="D52" s="661"/>
      <c r="E52" s="661"/>
      <c r="F52" s="661"/>
      <c r="G52" s="661"/>
      <c r="H52" s="661"/>
      <c r="I52" s="661"/>
      <c r="J52" s="661"/>
      <c r="K52" s="661"/>
      <c r="L52" s="661"/>
      <c r="M52" s="661"/>
      <c r="N52" s="661"/>
      <c r="O52" s="187"/>
      <c r="P52" s="661"/>
      <c r="Q52" s="662"/>
      <c r="R52" s="661"/>
      <c r="S52" s="661"/>
      <c r="T52" s="663"/>
      <c r="U52" s="664"/>
      <c r="V52" s="186"/>
      <c r="W52" s="185"/>
      <c r="X52" s="185"/>
      <c r="Z52" s="162"/>
    </row>
    <row r="53" spans="1:50" s="10" customFormat="1" ht="12" x14ac:dyDescent="0.2">
      <c r="A53" s="507" t="str">
        <f>A86</f>
        <v>Pilot Upper Limit</v>
      </c>
      <c r="B53" s="20">
        <f t="shared" ref="B53:U53" si="30">$B$86</f>
        <v>4</v>
      </c>
      <c r="C53" s="20">
        <f t="shared" si="30"/>
        <v>4</v>
      </c>
      <c r="D53" s="20">
        <f t="shared" si="30"/>
        <v>4</v>
      </c>
      <c r="E53" s="20">
        <f t="shared" si="30"/>
        <v>4</v>
      </c>
      <c r="F53" s="20">
        <f t="shared" si="30"/>
        <v>4</v>
      </c>
      <c r="G53" s="20">
        <f t="shared" si="30"/>
        <v>4</v>
      </c>
      <c r="H53" s="20">
        <f t="shared" si="30"/>
        <v>4</v>
      </c>
      <c r="I53" s="20">
        <f t="shared" si="30"/>
        <v>4</v>
      </c>
      <c r="J53" s="20">
        <f t="shared" si="30"/>
        <v>4</v>
      </c>
      <c r="K53" s="20">
        <f t="shared" si="30"/>
        <v>4</v>
      </c>
      <c r="L53" s="20">
        <f t="shared" si="30"/>
        <v>4</v>
      </c>
      <c r="M53" s="20">
        <f t="shared" si="30"/>
        <v>4</v>
      </c>
      <c r="N53" s="665">
        <f t="shared" si="30"/>
        <v>4</v>
      </c>
      <c r="O53" s="268">
        <f t="shared" si="30"/>
        <v>4</v>
      </c>
      <c r="P53" s="20">
        <f t="shared" si="30"/>
        <v>4</v>
      </c>
      <c r="Q53" s="20">
        <f t="shared" si="30"/>
        <v>4</v>
      </c>
      <c r="R53" s="20">
        <f t="shared" si="30"/>
        <v>4</v>
      </c>
      <c r="S53" s="20">
        <f t="shared" si="30"/>
        <v>4</v>
      </c>
      <c r="T53" s="85">
        <f t="shared" si="30"/>
        <v>4</v>
      </c>
      <c r="U53" s="269">
        <f t="shared" si="30"/>
        <v>4</v>
      </c>
      <c r="V53" s="65"/>
      <c r="W53" s="65"/>
      <c r="X53" s="65"/>
      <c r="Z53" s="149"/>
    </row>
    <row r="54" spans="1:50" s="10" customFormat="1" ht="12" x14ac:dyDescent="0.2">
      <c r="A54" s="562" t="str">
        <f>A87</f>
        <v>Pilot Lower Limit</v>
      </c>
      <c r="B54" s="563">
        <f>ROUND(IF(B$13="Deploy",MAX((B$77/100)*$B87,$B87),(B$77/100)*$B87),0)</f>
        <v>1</v>
      </c>
      <c r="C54" s="563">
        <f>ROUNDUP(IF(C$13="Deploy",MAX((C$77/100)*$B87,$B87),(C$77/100)*$B87),0)</f>
        <v>1</v>
      </c>
      <c r="D54" s="563">
        <f t="shared" ref="D54:L54" si="31">ROUND(IF(D$13="Deploy",MAX((D$77/100)*$B87,$B87),(D$77/100)*$B87),0)</f>
        <v>2</v>
      </c>
      <c r="E54" s="563">
        <f t="shared" si="31"/>
        <v>3</v>
      </c>
      <c r="F54" s="563">
        <f t="shared" si="31"/>
        <v>3</v>
      </c>
      <c r="G54" s="563">
        <f t="shared" si="31"/>
        <v>4</v>
      </c>
      <c r="H54" s="563">
        <f t="shared" si="31"/>
        <v>4</v>
      </c>
      <c r="I54" s="563">
        <f t="shared" si="31"/>
        <v>3</v>
      </c>
      <c r="J54" s="563">
        <f t="shared" si="31"/>
        <v>4</v>
      </c>
      <c r="K54" s="563">
        <f t="shared" si="31"/>
        <v>4</v>
      </c>
      <c r="L54" s="563">
        <f t="shared" si="31"/>
        <v>4</v>
      </c>
      <c r="M54" s="563">
        <f>ROUNDUP(IF(M$13="Deploy",MAX((M$77/100)*$B87,$B87),(M$77/100)*$B87),0)</f>
        <v>1</v>
      </c>
      <c r="N54" s="565">
        <f>ROUNDUP(IF(N$13="Deploy",MAX((N$77/100)*$B87,$B87),(N$77/100)*$B87),0)</f>
        <v>1</v>
      </c>
      <c r="O54" s="566">
        <f>ROUND(IF(O$13="Deploy",MAX((O$77/100)*$B87,$B87),(O$77/100)*$B87),0)</f>
        <v>1</v>
      </c>
      <c r="P54" s="563">
        <f>ROUNDUP(IF(P$13="Deploy",MAX((P$77/100)*$B87,$B87),(P$77/100)*$B87),0)</f>
        <v>1</v>
      </c>
      <c r="Q54" s="563">
        <f>ROUND(IF(Q$13="Deploy",MAX((Q$77/100)*$B87,$B87),(Q$77/100)*$B87),0)</f>
        <v>2</v>
      </c>
      <c r="R54" s="563">
        <f>ROUND(IF(R$13="Deploy",MAX((R$77/100)*$B87,$B87),(R$77/100)*$B87),0)</f>
        <v>3</v>
      </c>
      <c r="S54" s="563">
        <f>ROUND(IF(S$13="Deploy",MAX((S$77/100)*$B87,$B87),(S$77/100)*$B87),0)</f>
        <v>3</v>
      </c>
      <c r="T54" s="564">
        <f>ROUND(IF(T$13="Deploy",MAX((T$77/100)*$B87,$B87),(T$77/100)*$B87),0)</f>
        <v>3</v>
      </c>
      <c r="U54" s="100">
        <f>ROUND(IF(U$13="Deploy",MAX((U$77/100)*$B87,$B87),(U$77/100)*$B87),0)</f>
        <v>1</v>
      </c>
      <c r="V54" s="65"/>
      <c r="W54" s="65"/>
      <c r="X54" s="65"/>
      <c r="Z54" s="149"/>
    </row>
    <row r="55" spans="1:50" s="10" customFormat="1" ht="12" x14ac:dyDescent="0.2">
      <c r="A55" s="507" t="str">
        <f>A88</f>
        <v>Aircrew Upper Limit</v>
      </c>
      <c r="B55" s="567">
        <f t="shared" ref="B55:U55" si="32">$B$88</f>
        <v>2</v>
      </c>
      <c r="C55" s="567">
        <f t="shared" si="32"/>
        <v>2</v>
      </c>
      <c r="D55" s="567">
        <f t="shared" si="32"/>
        <v>2</v>
      </c>
      <c r="E55" s="567">
        <f t="shared" si="32"/>
        <v>2</v>
      </c>
      <c r="F55" s="567">
        <f t="shared" si="32"/>
        <v>2</v>
      </c>
      <c r="G55" s="567">
        <f t="shared" si="32"/>
        <v>2</v>
      </c>
      <c r="H55" s="567">
        <f t="shared" si="32"/>
        <v>2</v>
      </c>
      <c r="I55" s="567">
        <f t="shared" si="32"/>
        <v>2</v>
      </c>
      <c r="J55" s="567">
        <f t="shared" si="32"/>
        <v>2</v>
      </c>
      <c r="K55" s="567">
        <f t="shared" si="32"/>
        <v>2</v>
      </c>
      <c r="L55" s="567">
        <f t="shared" si="32"/>
        <v>2</v>
      </c>
      <c r="M55" s="567">
        <f t="shared" si="32"/>
        <v>2</v>
      </c>
      <c r="N55" s="569">
        <f t="shared" si="32"/>
        <v>2</v>
      </c>
      <c r="O55" s="666">
        <f t="shared" si="32"/>
        <v>2</v>
      </c>
      <c r="P55" s="567">
        <f t="shared" si="32"/>
        <v>2</v>
      </c>
      <c r="Q55" s="567">
        <f t="shared" si="32"/>
        <v>2</v>
      </c>
      <c r="R55" s="567">
        <f t="shared" si="32"/>
        <v>2</v>
      </c>
      <c r="S55" s="567">
        <f t="shared" si="32"/>
        <v>2</v>
      </c>
      <c r="T55" s="568">
        <f t="shared" si="32"/>
        <v>2</v>
      </c>
      <c r="U55" s="101">
        <f t="shared" si="32"/>
        <v>2</v>
      </c>
      <c r="W55" s="183"/>
      <c r="X55" s="183"/>
      <c r="Z55" s="149"/>
    </row>
    <row r="56" spans="1:50" s="10" customFormat="1" ht="12" x14ac:dyDescent="0.2">
      <c r="A56" s="562" t="str">
        <f>A89</f>
        <v>Aircrew Lower Limit</v>
      </c>
      <c r="B56" s="563">
        <f>ROUNDUP(IF(B$13="Deploy",MAX((B$77/100)*$B89,$B89),(B$77/100)*$B89),0)</f>
        <v>1</v>
      </c>
      <c r="C56" s="563">
        <f>ROUNDUP(IF(C$13="Deploy",MAX((C$77/100)*$B89,$B89),(C$77/100)*$B89),0)</f>
        <v>1</v>
      </c>
      <c r="D56" s="563">
        <f t="shared" ref="D56:L56" si="33">ROUND(IF(D$13="Deploy",MAX((D$77/100)*$B89,$B89),(D$77/100)*$B89),0)</f>
        <v>1</v>
      </c>
      <c r="E56" s="563">
        <f t="shared" si="33"/>
        <v>1</v>
      </c>
      <c r="F56" s="563">
        <f t="shared" si="33"/>
        <v>2</v>
      </c>
      <c r="G56" s="563">
        <f t="shared" si="33"/>
        <v>2</v>
      </c>
      <c r="H56" s="563">
        <f t="shared" si="33"/>
        <v>2</v>
      </c>
      <c r="I56" s="563">
        <f t="shared" si="33"/>
        <v>2</v>
      </c>
      <c r="J56" s="563">
        <f t="shared" si="33"/>
        <v>2</v>
      </c>
      <c r="K56" s="563">
        <f t="shared" si="33"/>
        <v>2</v>
      </c>
      <c r="L56" s="563">
        <f t="shared" si="33"/>
        <v>2</v>
      </c>
      <c r="M56" s="563">
        <f>ROUNDUP(IF(M$13="Deploy",MAX((M$77/100)*$B89,$B89),(M$77/100)*$B89),0)</f>
        <v>1</v>
      </c>
      <c r="N56" s="565">
        <f>ROUNDUP(IF(N$13="Deploy",MAX((N$77/100)*$B89,$B89),(N$77/100)*$B89),0)</f>
        <v>1</v>
      </c>
      <c r="O56" s="566">
        <f>ROUNDUP(IF(O$13="Deploy",MAX((O$77/100)*$B89,$B89),(O$77/100)*$B89),0)</f>
        <v>1</v>
      </c>
      <c r="P56" s="563">
        <f>ROUNDUP(IF(P$13="Deploy",MAX((P$77/100)*$B89,$B89),(P$77/100)*$B89),0)</f>
        <v>1</v>
      </c>
      <c r="Q56" s="563">
        <f t="shared" ref="Q56:U65" si="34">ROUND(IF(Q$13="Deploy",MAX((Q$77/100)*$B89,$B89),(Q$77/100)*$B89),0)</f>
        <v>1</v>
      </c>
      <c r="R56" s="563">
        <f t="shared" si="34"/>
        <v>1</v>
      </c>
      <c r="S56" s="563">
        <f t="shared" si="34"/>
        <v>2</v>
      </c>
      <c r="T56" s="564">
        <f t="shared" si="34"/>
        <v>2</v>
      </c>
      <c r="U56" s="100">
        <f t="shared" si="34"/>
        <v>1</v>
      </c>
      <c r="V56" s="65"/>
      <c r="W56" s="65"/>
      <c r="X56" s="65"/>
      <c r="Z56" s="149"/>
    </row>
    <row r="57" spans="1:50" s="10" customFormat="1" ht="12" x14ac:dyDescent="0.2">
      <c r="A57" s="562" t="s">
        <v>175</v>
      </c>
      <c r="B57" s="563">
        <f t="shared" ref="B57:C59" si="35">ROUND(IF(B$13="Deploy",MAX((B$77/100)*$B90,$B90),(B$77/100)*$B90),0)</f>
        <v>0</v>
      </c>
      <c r="C57" s="563">
        <f t="shared" si="35"/>
        <v>0</v>
      </c>
      <c r="D57" s="563">
        <f t="shared" ref="D57:L57" si="36">ROUND(IF(D$13="Deploy",MAX((D$77/100)*$B90,$B90),(D$77/100)*$B90),0)</f>
        <v>1</v>
      </c>
      <c r="E57" s="563">
        <f t="shared" si="36"/>
        <v>1</v>
      </c>
      <c r="F57" s="563">
        <f t="shared" si="36"/>
        <v>1</v>
      </c>
      <c r="G57" s="563">
        <f t="shared" si="36"/>
        <v>1</v>
      </c>
      <c r="H57" s="563">
        <f t="shared" si="36"/>
        <v>1</v>
      </c>
      <c r="I57" s="563">
        <f t="shared" si="36"/>
        <v>1</v>
      </c>
      <c r="J57" s="563">
        <f t="shared" si="36"/>
        <v>1</v>
      </c>
      <c r="K57" s="563">
        <f t="shared" si="36"/>
        <v>1</v>
      </c>
      <c r="L57" s="563">
        <f t="shared" si="36"/>
        <v>1</v>
      </c>
      <c r="M57" s="563">
        <f t="shared" ref="M57:P59" si="37">ROUND(IF(M$13="Deploy",MAX((M$77/100)*$B90,$B90),(M$77/100)*$B90),0)</f>
        <v>0</v>
      </c>
      <c r="N57" s="565">
        <f t="shared" si="37"/>
        <v>0</v>
      </c>
      <c r="O57" s="566">
        <f t="shared" si="37"/>
        <v>0</v>
      </c>
      <c r="P57" s="563">
        <f t="shared" si="37"/>
        <v>0</v>
      </c>
      <c r="Q57" s="563">
        <f t="shared" si="34"/>
        <v>1</v>
      </c>
      <c r="R57" s="563">
        <f t="shared" si="34"/>
        <v>1</v>
      </c>
      <c r="S57" s="563">
        <f t="shared" si="34"/>
        <v>1</v>
      </c>
      <c r="T57" s="564">
        <f t="shared" si="34"/>
        <v>1</v>
      </c>
      <c r="U57" s="100">
        <f t="shared" si="34"/>
        <v>0</v>
      </c>
      <c r="V57" s="65"/>
      <c r="W57" s="184"/>
      <c r="X57" s="184"/>
      <c r="Z57" s="149"/>
    </row>
    <row r="58" spans="1:50" s="10" customFormat="1" ht="12" x14ac:dyDescent="0.2">
      <c r="A58" s="562" t="s">
        <v>176</v>
      </c>
      <c r="B58" s="563">
        <f t="shared" si="35"/>
        <v>0</v>
      </c>
      <c r="C58" s="563">
        <f t="shared" si="35"/>
        <v>0</v>
      </c>
      <c r="D58" s="563">
        <f t="shared" ref="D58:L58" si="38">ROUND(IF(D$13="Deploy",MAX((D$77/100)*$B91,$B91),(D$77/100)*$B91),0)</f>
        <v>1</v>
      </c>
      <c r="E58" s="563">
        <f t="shared" si="38"/>
        <v>1</v>
      </c>
      <c r="F58" s="563">
        <f t="shared" si="38"/>
        <v>2</v>
      </c>
      <c r="G58" s="563">
        <f t="shared" si="38"/>
        <v>2</v>
      </c>
      <c r="H58" s="563">
        <f t="shared" si="38"/>
        <v>2</v>
      </c>
      <c r="I58" s="563">
        <f t="shared" si="38"/>
        <v>2</v>
      </c>
      <c r="J58" s="563">
        <f t="shared" si="38"/>
        <v>2</v>
      </c>
      <c r="K58" s="563">
        <f t="shared" si="38"/>
        <v>2</v>
      </c>
      <c r="L58" s="563">
        <f t="shared" si="38"/>
        <v>2</v>
      </c>
      <c r="M58" s="563">
        <f t="shared" si="37"/>
        <v>0</v>
      </c>
      <c r="N58" s="565">
        <f t="shared" si="37"/>
        <v>0</v>
      </c>
      <c r="O58" s="566">
        <f t="shared" si="37"/>
        <v>0</v>
      </c>
      <c r="P58" s="563">
        <f t="shared" si="37"/>
        <v>0</v>
      </c>
      <c r="Q58" s="563">
        <f t="shared" si="34"/>
        <v>1</v>
      </c>
      <c r="R58" s="563">
        <f t="shared" si="34"/>
        <v>1</v>
      </c>
      <c r="S58" s="563">
        <f t="shared" si="34"/>
        <v>2</v>
      </c>
      <c r="T58" s="564">
        <f t="shared" si="34"/>
        <v>2</v>
      </c>
      <c r="U58" s="100">
        <f t="shared" si="34"/>
        <v>1</v>
      </c>
      <c r="W58" s="183"/>
      <c r="X58" s="183"/>
    </row>
    <row r="59" spans="1:50" s="10" customFormat="1" ht="12" x14ac:dyDescent="0.2">
      <c r="A59" s="562" t="s">
        <v>177</v>
      </c>
      <c r="B59" s="563">
        <f t="shared" si="35"/>
        <v>1</v>
      </c>
      <c r="C59" s="563">
        <f t="shared" si="35"/>
        <v>0</v>
      </c>
      <c r="D59" s="563">
        <f t="shared" ref="D59:L59" si="39">ROUND(IF(D$13="Deploy",MAX((D$77/100)*$B92,$B92),(D$77/100)*$B92),0)</f>
        <v>2</v>
      </c>
      <c r="E59" s="563">
        <f t="shared" si="39"/>
        <v>3</v>
      </c>
      <c r="F59" s="563">
        <f t="shared" si="39"/>
        <v>3</v>
      </c>
      <c r="G59" s="563">
        <f t="shared" si="39"/>
        <v>4</v>
      </c>
      <c r="H59" s="563">
        <f t="shared" si="39"/>
        <v>4</v>
      </c>
      <c r="I59" s="563">
        <f t="shared" si="39"/>
        <v>3</v>
      </c>
      <c r="J59" s="563">
        <f t="shared" si="39"/>
        <v>4</v>
      </c>
      <c r="K59" s="563">
        <f t="shared" si="39"/>
        <v>4</v>
      </c>
      <c r="L59" s="563">
        <f t="shared" si="39"/>
        <v>4</v>
      </c>
      <c r="M59" s="563">
        <f t="shared" si="37"/>
        <v>0</v>
      </c>
      <c r="N59" s="565">
        <f t="shared" si="37"/>
        <v>0</v>
      </c>
      <c r="O59" s="566">
        <f t="shared" si="37"/>
        <v>1</v>
      </c>
      <c r="P59" s="563">
        <f t="shared" si="37"/>
        <v>0</v>
      </c>
      <c r="Q59" s="563">
        <f t="shared" si="34"/>
        <v>2</v>
      </c>
      <c r="R59" s="563">
        <f t="shared" si="34"/>
        <v>3</v>
      </c>
      <c r="S59" s="563">
        <f t="shared" si="34"/>
        <v>3</v>
      </c>
      <c r="T59" s="564">
        <f t="shared" si="34"/>
        <v>3</v>
      </c>
      <c r="U59" s="100">
        <f t="shared" si="34"/>
        <v>1</v>
      </c>
      <c r="W59" s="183"/>
      <c r="X59" s="183"/>
      <c r="Z59" s="149"/>
    </row>
    <row r="60" spans="1:50" s="10" customFormat="1" ht="12" x14ac:dyDescent="0.2">
      <c r="A60" s="562" t="s">
        <v>178</v>
      </c>
      <c r="B60" s="563">
        <f>ROUND(IF(B$13="Deploy",MAX((B$77/100)*$B93,$B93),(B$77/100)*$B93),0)</f>
        <v>1</v>
      </c>
      <c r="C60" s="563">
        <f>ROUNDUP(IF(C$13="Deploy",MAX((C$77/100)*$B93,$B93),(C$77/100)*$B93),0)</f>
        <v>1</v>
      </c>
      <c r="D60" s="563">
        <f t="shared" ref="D60:L60" si="40">ROUND(IF(D$13="Deploy",MAX((D$77/100)*$B93,$B93),(D$77/100)*$B93),0)</f>
        <v>2</v>
      </c>
      <c r="E60" s="563">
        <f t="shared" si="40"/>
        <v>3</v>
      </c>
      <c r="F60" s="563">
        <f t="shared" si="40"/>
        <v>3</v>
      </c>
      <c r="G60" s="563">
        <f t="shared" si="40"/>
        <v>4</v>
      </c>
      <c r="H60" s="563">
        <f t="shared" si="40"/>
        <v>4</v>
      </c>
      <c r="I60" s="563">
        <f t="shared" si="40"/>
        <v>3</v>
      </c>
      <c r="J60" s="563">
        <f t="shared" si="40"/>
        <v>4</v>
      </c>
      <c r="K60" s="563">
        <f t="shared" si="40"/>
        <v>4</v>
      </c>
      <c r="L60" s="563">
        <f t="shared" si="40"/>
        <v>4</v>
      </c>
      <c r="M60" s="563">
        <f>ROUNDUP(IF(M$13="Deploy",MAX((M$77/100)*$B93,$B93),(M$77/100)*$B93),0)</f>
        <v>1</v>
      </c>
      <c r="N60" s="565">
        <f>ROUNDUP(IF(N$13="Deploy",MAX((N$77/100)*$B93,$B93),(N$77/100)*$B93),0)</f>
        <v>1</v>
      </c>
      <c r="O60" s="566">
        <f>ROUND(IF(O$13="Deploy",MAX((O$77/100)*$B93,$B93),(O$77/100)*$B93),0)</f>
        <v>1</v>
      </c>
      <c r="P60" s="563">
        <f>ROUNDUP(IF(P$13="Deploy",MAX((P$77/100)*$B93,$B93),(P$77/100)*$B93),0)</f>
        <v>1</v>
      </c>
      <c r="Q60" s="563">
        <f t="shared" si="34"/>
        <v>2</v>
      </c>
      <c r="R60" s="563">
        <f t="shared" si="34"/>
        <v>3</v>
      </c>
      <c r="S60" s="563">
        <f t="shared" si="34"/>
        <v>3</v>
      </c>
      <c r="T60" s="564">
        <f t="shared" si="34"/>
        <v>3</v>
      </c>
      <c r="U60" s="100">
        <f t="shared" si="34"/>
        <v>1</v>
      </c>
      <c r="W60" s="183"/>
      <c r="X60" s="183"/>
      <c r="Z60" s="149"/>
    </row>
    <row r="61" spans="1:50" s="10" customFormat="1" ht="12" x14ac:dyDescent="0.2">
      <c r="A61" s="562" t="s">
        <v>179</v>
      </c>
      <c r="B61" s="563">
        <f>ROUND(IF(B$13="Deploy",MAX((B$77/100)*$B94,$B94),(B$77/100)*$B94),0)</f>
        <v>0</v>
      </c>
      <c r="C61" s="563">
        <f>ROUND(IF(C$13="Deploy",MAX((C$77/100)*$B94,$B94),(C$77/100)*$B94),0)</f>
        <v>0</v>
      </c>
      <c r="D61" s="563">
        <f t="shared" ref="D61:L61" si="41">ROUND(IF(D$13="Deploy",MAX((D$77/100)*$B94,$B94),(D$77/100)*$B94),0)</f>
        <v>1</v>
      </c>
      <c r="E61" s="563">
        <f t="shared" si="41"/>
        <v>1</v>
      </c>
      <c r="F61" s="563">
        <f t="shared" si="41"/>
        <v>1</v>
      </c>
      <c r="G61" s="563">
        <f t="shared" si="41"/>
        <v>1</v>
      </c>
      <c r="H61" s="563">
        <f t="shared" si="41"/>
        <v>1</v>
      </c>
      <c r="I61" s="563">
        <f t="shared" si="41"/>
        <v>1</v>
      </c>
      <c r="J61" s="563">
        <f t="shared" si="41"/>
        <v>1</v>
      </c>
      <c r="K61" s="563">
        <f t="shared" si="41"/>
        <v>1</v>
      </c>
      <c r="L61" s="563">
        <f t="shared" si="41"/>
        <v>1</v>
      </c>
      <c r="M61" s="563">
        <f>ROUND(IF(M$13="Deploy",MAX((M$77/100)*$B94,$B94),(M$77/100)*$B94),0)</f>
        <v>0</v>
      </c>
      <c r="N61" s="565">
        <f>ROUND(IF(N$13="Deploy",MAX((N$77/100)*$B94,$B94),(N$77/100)*$B94),0)</f>
        <v>0</v>
      </c>
      <c r="O61" s="566">
        <f>ROUND(IF(O$13="Deploy",MAX((O$77/100)*$B94,$B94),(O$77/100)*$B94),0)</f>
        <v>0</v>
      </c>
      <c r="P61" s="563">
        <f>ROUND(IF(P$13="Deploy",MAX((P$77/100)*$B94,$B94),(P$77/100)*$B94),0)</f>
        <v>0</v>
      </c>
      <c r="Q61" s="563">
        <f t="shared" si="34"/>
        <v>1</v>
      </c>
      <c r="R61" s="563">
        <f t="shared" si="34"/>
        <v>1</v>
      </c>
      <c r="S61" s="563">
        <f t="shared" si="34"/>
        <v>1</v>
      </c>
      <c r="T61" s="564">
        <f t="shared" si="34"/>
        <v>1</v>
      </c>
      <c r="U61" s="100">
        <f t="shared" si="34"/>
        <v>0</v>
      </c>
      <c r="W61" s="183"/>
      <c r="X61" s="183"/>
    </row>
    <row r="62" spans="1:50" s="10" customFormat="1" ht="12" x14ac:dyDescent="0.2">
      <c r="A62" s="562" t="s">
        <v>180</v>
      </c>
      <c r="B62" s="563">
        <f>ROUND(IF(B$13="Deploy",MAX((B$77/100)*$B95,$B95),(B$77/100)*$B95),0)</f>
        <v>0</v>
      </c>
      <c r="C62" s="563">
        <f>ROUND(IF(C$13="Deploy",MAX((C$77/100)*$B95,$B95),(C$77/100)*$B95),0)</f>
        <v>0</v>
      </c>
      <c r="D62" s="563">
        <f t="shared" ref="D62:L62" si="42">ROUND(IF(D$13="Deploy",MAX((D$77/100)*$B95,$B95),(D$77/100)*$B95),0)</f>
        <v>1</v>
      </c>
      <c r="E62" s="563">
        <f t="shared" si="42"/>
        <v>1</v>
      </c>
      <c r="F62" s="563">
        <f t="shared" si="42"/>
        <v>2</v>
      </c>
      <c r="G62" s="563">
        <f t="shared" si="42"/>
        <v>2</v>
      </c>
      <c r="H62" s="563">
        <f t="shared" si="42"/>
        <v>2</v>
      </c>
      <c r="I62" s="563">
        <f t="shared" si="42"/>
        <v>2</v>
      </c>
      <c r="J62" s="563">
        <f t="shared" si="42"/>
        <v>2</v>
      </c>
      <c r="K62" s="563">
        <f t="shared" si="42"/>
        <v>2</v>
      </c>
      <c r="L62" s="563">
        <f t="shared" si="42"/>
        <v>2</v>
      </c>
      <c r="M62" s="563">
        <f>ROUND(IF(M$13="Deploy",MAX((M$77/100)*$B95,$B95),(M$77/100)*$B95),0)</f>
        <v>0</v>
      </c>
      <c r="N62" s="565">
        <f>ROUND(IF(N$13="Deploy",MAX((N$77/100)*$B95,$B95),(N$77/100)*$B95),0)</f>
        <v>0</v>
      </c>
      <c r="O62" s="566">
        <f>ROUND(IF(O$13="Deploy",MAX((O$77/100)*$B95,$B95),(O$77/100)*$B95),0)</f>
        <v>0</v>
      </c>
      <c r="P62" s="563">
        <f>ROUND(IF(P$13="Deploy",MAX((P$77/100)*$B95,$B95),(P$77/100)*$B95),0)</f>
        <v>0</v>
      </c>
      <c r="Q62" s="563">
        <f t="shared" si="34"/>
        <v>1</v>
      </c>
      <c r="R62" s="563">
        <f t="shared" si="34"/>
        <v>1</v>
      </c>
      <c r="S62" s="563">
        <f t="shared" si="34"/>
        <v>2</v>
      </c>
      <c r="T62" s="564">
        <f t="shared" si="34"/>
        <v>2</v>
      </c>
      <c r="U62" s="100">
        <f t="shared" si="34"/>
        <v>1</v>
      </c>
      <c r="W62" s="183"/>
      <c r="X62" s="183"/>
    </row>
    <row r="63" spans="1:50" ht="12" x14ac:dyDescent="0.2">
      <c r="A63" s="562" t="s">
        <v>181</v>
      </c>
      <c r="B63" s="563">
        <f>ROUNDUP(IF(B$13="Deploy",MAX((B$77/100)*$B96,$B96),(B$77/100)*$B96),0)</f>
        <v>1</v>
      </c>
      <c r="C63" s="563">
        <f>ROUNDUP(IF(C$13="Deploy",MAX((C$77/100)*$B96,$B96),(C$77/100)*$B96),0)</f>
        <v>1</v>
      </c>
      <c r="D63" s="563">
        <f t="shared" ref="D63:L63" si="43">ROUND(IF(D$13="Deploy",MAX((D$77/100)*$B96,$B96),(D$77/100)*$B96),0)</f>
        <v>1</v>
      </c>
      <c r="E63" s="563">
        <f t="shared" si="43"/>
        <v>1</v>
      </c>
      <c r="F63" s="563">
        <f t="shared" si="43"/>
        <v>2</v>
      </c>
      <c r="G63" s="563">
        <f t="shared" si="43"/>
        <v>2</v>
      </c>
      <c r="H63" s="563">
        <f t="shared" si="43"/>
        <v>2</v>
      </c>
      <c r="I63" s="563">
        <f t="shared" si="43"/>
        <v>2</v>
      </c>
      <c r="J63" s="563">
        <f t="shared" si="43"/>
        <v>2</v>
      </c>
      <c r="K63" s="563">
        <f t="shared" si="43"/>
        <v>2</v>
      </c>
      <c r="L63" s="563">
        <f t="shared" si="43"/>
        <v>2</v>
      </c>
      <c r="M63" s="563">
        <f>ROUNDUP(IF(M$13="Deploy",MAX((M$77/100)*$B96,$B96),(M$77/100)*$B96),0)</f>
        <v>1</v>
      </c>
      <c r="N63" s="565">
        <f>ROUNDUP(IF(N$13="Deploy",MAX((N$77/100)*$B96,$B96),(N$77/100)*$B96),0)</f>
        <v>1</v>
      </c>
      <c r="O63" s="566">
        <f>ROUNDUP(IF(O$13="Deploy",MAX((O$77/100)*$B96,$B96),(O$77/100)*$B96),0)</f>
        <v>1</v>
      </c>
      <c r="P63" s="563">
        <f>ROUNDUP(IF(P$13="Deploy",MAX((P$77/100)*$B96,$B96),(P$77/100)*$B96),0)</f>
        <v>1</v>
      </c>
      <c r="Q63" s="563">
        <f t="shared" si="34"/>
        <v>1</v>
      </c>
      <c r="R63" s="563">
        <f t="shared" si="34"/>
        <v>1</v>
      </c>
      <c r="S63" s="563">
        <f t="shared" si="34"/>
        <v>2</v>
      </c>
      <c r="T63" s="564">
        <f t="shared" si="34"/>
        <v>2</v>
      </c>
      <c r="U63" s="100">
        <f t="shared" si="34"/>
        <v>1</v>
      </c>
      <c r="W63" s="182"/>
      <c r="X63" s="182"/>
    </row>
    <row r="64" spans="1:50" s="74" customFormat="1" ht="12" x14ac:dyDescent="0.2">
      <c r="A64" s="562" t="s">
        <v>211</v>
      </c>
      <c r="B64" s="563">
        <f>ROUND(IF(B$13="Deploy",MAX((B$77/100)*$B97,$B97),(B$77/100)*$B97),0)</f>
        <v>0</v>
      </c>
      <c r="C64" s="563">
        <f>ROUND(IF(C$13="Deploy",MAX((C$77/100)*$B97,$B97),(C$77/100)*$B97),0)</f>
        <v>0</v>
      </c>
      <c r="D64" s="563">
        <f t="shared" ref="D64:L64" si="44">ROUND(IF(D$13="Deploy",MAX((D$77/100)*$B97,$B97),(D$77/100)*$B97),0)</f>
        <v>1</v>
      </c>
      <c r="E64" s="563">
        <f t="shared" si="44"/>
        <v>1</v>
      </c>
      <c r="F64" s="563">
        <f t="shared" si="44"/>
        <v>2</v>
      </c>
      <c r="G64" s="563">
        <f t="shared" si="44"/>
        <v>2</v>
      </c>
      <c r="H64" s="563">
        <f t="shared" si="44"/>
        <v>2</v>
      </c>
      <c r="I64" s="563">
        <f t="shared" si="44"/>
        <v>2</v>
      </c>
      <c r="J64" s="563">
        <f t="shared" si="44"/>
        <v>2</v>
      </c>
      <c r="K64" s="563">
        <f t="shared" si="44"/>
        <v>2</v>
      </c>
      <c r="L64" s="563">
        <f t="shared" si="44"/>
        <v>2</v>
      </c>
      <c r="M64" s="563">
        <f t="shared" ref="M64:P65" si="45">ROUND(IF(M$13="Deploy",MAX((M$77/100)*$B97,$B97),(M$77/100)*$B97),0)</f>
        <v>0</v>
      </c>
      <c r="N64" s="565">
        <f t="shared" si="45"/>
        <v>0</v>
      </c>
      <c r="O64" s="566">
        <f t="shared" si="45"/>
        <v>0</v>
      </c>
      <c r="P64" s="563">
        <f t="shared" si="45"/>
        <v>0</v>
      </c>
      <c r="Q64" s="563">
        <f t="shared" si="34"/>
        <v>1</v>
      </c>
      <c r="R64" s="563">
        <f t="shared" si="34"/>
        <v>1</v>
      </c>
      <c r="S64" s="563">
        <f t="shared" si="34"/>
        <v>2</v>
      </c>
      <c r="T64" s="564">
        <f t="shared" si="34"/>
        <v>2</v>
      </c>
      <c r="U64" s="100">
        <f t="shared" si="34"/>
        <v>1</v>
      </c>
      <c r="AA64" s="168"/>
    </row>
    <row r="65" spans="1:27" s="74" customFormat="1" ht="12" x14ac:dyDescent="0.2">
      <c r="A65" s="562" t="str">
        <f>A98</f>
        <v>Required Skilled Crews</v>
      </c>
      <c r="B65" s="563">
        <f>ROUND(IF(B$13="Deploy",MAX((B$77/100)*$B98,$B98),(B$77/100)*$B98),0)</f>
        <v>0</v>
      </c>
      <c r="C65" s="563">
        <f>ROUND(IF(C$13="Deploy",MAX((C$77/100)*$B98,$B98),(C$77/100)*$B98),0)</f>
        <v>0</v>
      </c>
      <c r="D65" s="563">
        <f t="shared" ref="D65:L65" si="46">ROUND(IF(D$13="Deploy",MAX((D$77/100)*$B98,$B98),(D$77/100)*$B98),0)</f>
        <v>1</v>
      </c>
      <c r="E65" s="563">
        <f t="shared" si="46"/>
        <v>1</v>
      </c>
      <c r="F65" s="563">
        <f t="shared" si="46"/>
        <v>2</v>
      </c>
      <c r="G65" s="563">
        <f t="shared" si="46"/>
        <v>2</v>
      </c>
      <c r="H65" s="563">
        <f t="shared" si="46"/>
        <v>2</v>
      </c>
      <c r="I65" s="563">
        <f t="shared" si="46"/>
        <v>2</v>
      </c>
      <c r="J65" s="563">
        <f t="shared" si="46"/>
        <v>2</v>
      </c>
      <c r="K65" s="563">
        <f t="shared" si="46"/>
        <v>2</v>
      </c>
      <c r="L65" s="563">
        <f t="shared" si="46"/>
        <v>2</v>
      </c>
      <c r="M65" s="563">
        <f t="shared" si="45"/>
        <v>0</v>
      </c>
      <c r="N65" s="565">
        <f t="shared" si="45"/>
        <v>0</v>
      </c>
      <c r="O65" s="566">
        <f t="shared" si="45"/>
        <v>0</v>
      </c>
      <c r="P65" s="563">
        <f t="shared" si="45"/>
        <v>0</v>
      </c>
      <c r="Q65" s="563">
        <f t="shared" si="34"/>
        <v>1</v>
      </c>
      <c r="R65" s="563">
        <f t="shared" si="34"/>
        <v>1</v>
      </c>
      <c r="S65" s="563">
        <f t="shared" si="34"/>
        <v>2</v>
      </c>
      <c r="T65" s="564">
        <f t="shared" si="34"/>
        <v>2</v>
      </c>
      <c r="U65" s="100">
        <f t="shared" si="34"/>
        <v>1</v>
      </c>
      <c r="AA65" s="168"/>
    </row>
    <row r="66" spans="1:27" s="74" customFormat="1" ht="12" x14ac:dyDescent="0.2">
      <c r="O66" s="181"/>
      <c r="AA66" s="168"/>
    </row>
    <row r="67" spans="1:27" s="74" customFormat="1" ht="12" x14ac:dyDescent="0.2">
      <c r="B67" s="64"/>
      <c r="C67" s="64"/>
      <c r="D67" s="64"/>
      <c r="O67" s="181"/>
    </row>
    <row r="68" spans="1:27" s="74" customFormat="1" ht="12" x14ac:dyDescent="0.2">
      <c r="B68" s="64"/>
      <c r="C68" s="64"/>
      <c r="D68" s="64"/>
    </row>
    <row r="69" spans="1:27" s="74" customFormat="1" ht="12" x14ac:dyDescent="0.2">
      <c r="AA69" s="168"/>
    </row>
    <row r="70" spans="1:27" s="74" customFormat="1" ht="12" x14ac:dyDescent="0.2">
      <c r="AA70" s="168"/>
    </row>
    <row r="71" spans="1:27" s="74" customFormat="1" ht="12" x14ac:dyDescent="0.2">
      <c r="AA71" s="168"/>
    </row>
    <row r="72" spans="1:27" s="74" customFormat="1" ht="12" x14ac:dyDescent="0.2">
      <c r="AA72" s="168"/>
    </row>
    <row r="73" spans="1:27" s="74" customFormat="1" ht="12.75" thickBot="1" x14ac:dyDescent="0.25">
      <c r="AA73" s="168"/>
    </row>
    <row r="74" spans="1:27" s="74" customFormat="1" ht="13.5" customHeight="1" thickBot="1" x14ac:dyDescent="0.25">
      <c r="A74" s="717" t="s">
        <v>160</v>
      </c>
      <c r="B74" s="718"/>
      <c r="C74" s="718"/>
      <c r="D74" s="718"/>
      <c r="E74" s="718"/>
      <c r="F74" s="718"/>
      <c r="G74" s="718"/>
      <c r="H74" s="718"/>
      <c r="I74" s="718"/>
      <c r="J74" s="718"/>
      <c r="K74" s="718"/>
      <c r="L74" s="718"/>
      <c r="M74" s="718"/>
      <c r="N74" s="718"/>
      <c r="O74" s="718"/>
      <c r="P74" s="718"/>
      <c r="Q74" s="718"/>
      <c r="R74" s="718"/>
      <c r="S74" s="718"/>
      <c r="T74" s="718"/>
      <c r="U74" s="719"/>
      <c r="V74" s="180"/>
      <c r="AA74" s="168"/>
    </row>
    <row r="75" spans="1:27" s="74" customFormat="1" ht="12" x14ac:dyDescent="0.2">
      <c r="A75" s="179" t="s">
        <v>161</v>
      </c>
      <c r="B75" s="176">
        <f t="shared" ref="B75:U75" si="47">MIN(100,B77+$B$81)</f>
        <v>58.649540517948211</v>
      </c>
      <c r="C75" s="176">
        <f t="shared" si="47"/>
        <v>43.649540517948211</v>
      </c>
      <c r="D75" s="176">
        <f t="shared" si="47"/>
        <v>98.649540517948211</v>
      </c>
      <c r="E75" s="176">
        <f t="shared" si="47"/>
        <v>100</v>
      </c>
      <c r="F75" s="176">
        <f t="shared" si="47"/>
        <v>100</v>
      </c>
      <c r="G75" s="176">
        <f t="shared" si="47"/>
        <v>100</v>
      </c>
      <c r="H75" s="176">
        <f t="shared" si="47"/>
        <v>100</v>
      </c>
      <c r="I75" s="176">
        <f t="shared" si="47"/>
        <v>100</v>
      </c>
      <c r="J75" s="176">
        <f t="shared" si="47"/>
        <v>100</v>
      </c>
      <c r="K75" s="176">
        <f t="shared" si="47"/>
        <v>100</v>
      </c>
      <c r="L75" s="176">
        <f t="shared" si="47"/>
        <v>100</v>
      </c>
      <c r="M75" s="176">
        <f t="shared" si="47"/>
        <v>43.649540517948211</v>
      </c>
      <c r="N75" s="178">
        <f t="shared" si="47"/>
        <v>43.649540517948211</v>
      </c>
      <c r="O75" s="177">
        <f t="shared" si="47"/>
        <v>58.649540517948211</v>
      </c>
      <c r="P75" s="176">
        <f t="shared" si="47"/>
        <v>43.649540517948211</v>
      </c>
      <c r="Q75" s="176">
        <f t="shared" si="47"/>
        <v>98.649540517948211</v>
      </c>
      <c r="R75" s="176">
        <f t="shared" si="47"/>
        <v>100</v>
      </c>
      <c r="S75" s="176">
        <f t="shared" si="47"/>
        <v>100</v>
      </c>
      <c r="T75" s="175">
        <f t="shared" si="47"/>
        <v>100</v>
      </c>
      <c r="U75" s="174">
        <f t="shared" si="47"/>
        <v>66.649540517948211</v>
      </c>
      <c r="Z75" s="168"/>
    </row>
    <row r="76" spans="1:27" s="74" customFormat="1" ht="12" x14ac:dyDescent="0.2">
      <c r="A76" s="22" t="s">
        <v>162</v>
      </c>
      <c r="B76" s="582">
        <f t="shared" ref="B76:U76" si="48">MIN(100,B77+$B$82)</f>
        <v>39.324770258974105</v>
      </c>
      <c r="C76" s="582">
        <f t="shared" si="48"/>
        <v>24.324770258974105</v>
      </c>
      <c r="D76" s="582">
        <f t="shared" si="48"/>
        <v>79.324770258974098</v>
      </c>
      <c r="E76" s="582">
        <f t="shared" si="48"/>
        <v>89.324770258974098</v>
      </c>
      <c r="F76" s="582">
        <f t="shared" si="48"/>
        <v>99.324770258974098</v>
      </c>
      <c r="G76" s="582">
        <f t="shared" si="48"/>
        <v>100</v>
      </c>
      <c r="H76" s="582">
        <f t="shared" si="48"/>
        <v>100</v>
      </c>
      <c r="I76" s="582">
        <f t="shared" si="48"/>
        <v>99.324770258974098</v>
      </c>
      <c r="J76" s="582">
        <f t="shared" si="48"/>
        <v>100</v>
      </c>
      <c r="K76" s="582">
        <f t="shared" si="48"/>
        <v>100</v>
      </c>
      <c r="L76" s="582">
        <f t="shared" si="48"/>
        <v>100</v>
      </c>
      <c r="M76" s="582">
        <f t="shared" si="48"/>
        <v>24.324770258974105</v>
      </c>
      <c r="N76" s="629">
        <f t="shared" si="48"/>
        <v>24.324770258974105</v>
      </c>
      <c r="O76" s="172">
        <f t="shared" si="48"/>
        <v>39.324770258974105</v>
      </c>
      <c r="P76" s="582">
        <f t="shared" si="48"/>
        <v>24.324770258974105</v>
      </c>
      <c r="Q76" s="582">
        <f t="shared" si="48"/>
        <v>79.324770258974098</v>
      </c>
      <c r="R76" s="582">
        <f t="shared" si="48"/>
        <v>89.324770258974098</v>
      </c>
      <c r="S76" s="582">
        <f t="shared" si="48"/>
        <v>99.324770258974098</v>
      </c>
      <c r="T76" s="583">
        <f t="shared" si="48"/>
        <v>99.324770258974098</v>
      </c>
      <c r="U76" s="667">
        <f t="shared" si="48"/>
        <v>47.324770258974105</v>
      </c>
      <c r="Z76" s="168"/>
    </row>
    <row r="77" spans="1:27" s="74" customFormat="1" ht="12" x14ac:dyDescent="0.2">
      <c r="A77" s="22" t="s">
        <v>163</v>
      </c>
      <c r="B77" s="584">
        <v>20</v>
      </c>
      <c r="C77" s="584">
        <v>5</v>
      </c>
      <c r="D77" s="584">
        <v>60</v>
      </c>
      <c r="E77" s="584">
        <v>70</v>
      </c>
      <c r="F77" s="584">
        <v>80</v>
      </c>
      <c r="G77" s="584">
        <v>100</v>
      </c>
      <c r="H77" s="584">
        <v>100</v>
      </c>
      <c r="I77" s="584">
        <v>80</v>
      </c>
      <c r="J77" s="584">
        <v>100</v>
      </c>
      <c r="K77" s="584">
        <v>100</v>
      </c>
      <c r="L77" s="584">
        <v>100</v>
      </c>
      <c r="M77" s="584">
        <v>5</v>
      </c>
      <c r="N77" s="630">
        <v>5</v>
      </c>
      <c r="O77" s="173">
        <f>B77</f>
        <v>20</v>
      </c>
      <c r="P77" s="584">
        <f>C77</f>
        <v>5</v>
      </c>
      <c r="Q77" s="584">
        <f>D77</f>
        <v>60</v>
      </c>
      <c r="R77" s="584">
        <f>E77</f>
        <v>70</v>
      </c>
      <c r="S77" s="584">
        <f>F77</f>
        <v>80</v>
      </c>
      <c r="T77" s="585">
        <f>I77</f>
        <v>80</v>
      </c>
      <c r="U77" s="668">
        <v>28</v>
      </c>
      <c r="Z77" s="168"/>
    </row>
    <row r="78" spans="1:27" s="74" customFormat="1" ht="12" x14ac:dyDescent="0.2">
      <c r="A78" s="22" t="s">
        <v>164</v>
      </c>
      <c r="B78" s="582">
        <f t="shared" ref="B78:U78" si="49">MIN(80,IF(B13="Deploy",80,MAX(0,B77-$B$82)))</f>
        <v>0.67522974102589473</v>
      </c>
      <c r="C78" s="582">
        <f t="shared" si="49"/>
        <v>0</v>
      </c>
      <c r="D78" s="582">
        <f t="shared" si="49"/>
        <v>40.675229741025895</v>
      </c>
      <c r="E78" s="582">
        <f t="shared" si="49"/>
        <v>50.675229741025895</v>
      </c>
      <c r="F78" s="582">
        <f t="shared" si="49"/>
        <v>60.675229741025895</v>
      </c>
      <c r="G78" s="582">
        <f t="shared" si="49"/>
        <v>80</v>
      </c>
      <c r="H78" s="582">
        <f t="shared" si="49"/>
        <v>80</v>
      </c>
      <c r="I78" s="582">
        <f t="shared" si="49"/>
        <v>60.675229741025895</v>
      </c>
      <c r="J78" s="582">
        <f t="shared" si="49"/>
        <v>80</v>
      </c>
      <c r="K78" s="582">
        <f t="shared" si="49"/>
        <v>80</v>
      </c>
      <c r="L78" s="582">
        <f t="shared" si="49"/>
        <v>80</v>
      </c>
      <c r="M78" s="582">
        <f t="shared" si="49"/>
        <v>0</v>
      </c>
      <c r="N78" s="629">
        <f t="shared" si="49"/>
        <v>0</v>
      </c>
      <c r="O78" s="172">
        <f t="shared" si="49"/>
        <v>0.67522974102589473</v>
      </c>
      <c r="P78" s="582">
        <f t="shared" si="49"/>
        <v>0</v>
      </c>
      <c r="Q78" s="582">
        <f t="shared" si="49"/>
        <v>40.675229741025895</v>
      </c>
      <c r="R78" s="582">
        <f t="shared" si="49"/>
        <v>50.675229741025895</v>
      </c>
      <c r="S78" s="582">
        <f t="shared" si="49"/>
        <v>60.675229741025895</v>
      </c>
      <c r="T78" s="583">
        <f t="shared" si="49"/>
        <v>60.675229741025895</v>
      </c>
      <c r="U78" s="667">
        <f t="shared" si="49"/>
        <v>8.6752297410258947</v>
      </c>
      <c r="Z78" s="168"/>
    </row>
    <row r="79" spans="1:27" s="74" customFormat="1" ht="12.75" thickBot="1" x14ac:dyDescent="0.25">
      <c r="A79" s="23" t="s">
        <v>165</v>
      </c>
      <c r="B79" s="24">
        <f t="shared" ref="B79:U79" si="50">MIN(60,IF(B13="Deploy",60,MAX(0,B77-$B$81)))</f>
        <v>0</v>
      </c>
      <c r="C79" s="24">
        <f t="shared" si="50"/>
        <v>0</v>
      </c>
      <c r="D79" s="24">
        <f t="shared" si="50"/>
        <v>21.350459482051789</v>
      </c>
      <c r="E79" s="24">
        <f t="shared" si="50"/>
        <v>31.350459482051789</v>
      </c>
      <c r="F79" s="24">
        <f t="shared" si="50"/>
        <v>41.350459482051789</v>
      </c>
      <c r="G79" s="24">
        <f t="shared" si="50"/>
        <v>60</v>
      </c>
      <c r="H79" s="24">
        <f t="shared" si="50"/>
        <v>60</v>
      </c>
      <c r="I79" s="24">
        <f t="shared" si="50"/>
        <v>41.350459482051789</v>
      </c>
      <c r="J79" s="24">
        <f t="shared" si="50"/>
        <v>60</v>
      </c>
      <c r="K79" s="24">
        <f t="shared" si="50"/>
        <v>60</v>
      </c>
      <c r="L79" s="24">
        <f t="shared" si="50"/>
        <v>60</v>
      </c>
      <c r="M79" s="24">
        <f t="shared" si="50"/>
        <v>0</v>
      </c>
      <c r="N79" s="171">
        <f t="shared" si="50"/>
        <v>0</v>
      </c>
      <c r="O79" s="170">
        <f t="shared" si="50"/>
        <v>0</v>
      </c>
      <c r="P79" s="24">
        <f t="shared" si="50"/>
        <v>0</v>
      </c>
      <c r="Q79" s="24">
        <f t="shared" si="50"/>
        <v>21.350459482051789</v>
      </c>
      <c r="R79" s="24">
        <f t="shared" si="50"/>
        <v>31.350459482051789</v>
      </c>
      <c r="S79" s="24">
        <f t="shared" si="50"/>
        <v>41.350459482051789</v>
      </c>
      <c r="T79" s="25">
        <f t="shared" si="50"/>
        <v>41.350459482051789</v>
      </c>
      <c r="U79" s="169">
        <f t="shared" si="50"/>
        <v>0</v>
      </c>
      <c r="Z79" s="168"/>
    </row>
    <row r="80" spans="1:27" s="74" customFormat="1" ht="12.75" thickBot="1" x14ac:dyDescent="0.25">
      <c r="A80" s="264" t="s">
        <v>166</v>
      </c>
      <c r="B80" s="265" t="s">
        <v>203</v>
      </c>
      <c r="C80" s="265" t="s">
        <v>203</v>
      </c>
      <c r="D80" s="265" t="s">
        <v>203</v>
      </c>
      <c r="E80" s="265" t="s">
        <v>203</v>
      </c>
      <c r="F80" s="265" t="s">
        <v>203</v>
      </c>
      <c r="G80" s="265" t="s">
        <v>203</v>
      </c>
      <c r="H80" s="265" t="s">
        <v>203</v>
      </c>
      <c r="I80" s="265" t="s">
        <v>203</v>
      </c>
      <c r="J80" s="265" t="s">
        <v>203</v>
      </c>
      <c r="K80" s="265" t="s">
        <v>203</v>
      </c>
      <c r="L80" s="265" t="s">
        <v>203</v>
      </c>
      <c r="M80" s="265" t="s">
        <v>203</v>
      </c>
      <c r="N80" s="265" t="s">
        <v>203</v>
      </c>
      <c r="O80" s="265" t="s">
        <v>203</v>
      </c>
      <c r="P80" s="265" t="s">
        <v>203</v>
      </c>
      <c r="Q80" s="265" t="s">
        <v>203</v>
      </c>
      <c r="R80" s="265" t="s">
        <v>203</v>
      </c>
      <c r="S80" s="265" t="s">
        <v>203</v>
      </c>
      <c r="T80" s="265" t="s">
        <v>203</v>
      </c>
      <c r="U80" s="265" t="s">
        <v>203</v>
      </c>
      <c r="Z80" s="168"/>
    </row>
    <row r="81" spans="1:27" s="74" customFormat="1" ht="12" x14ac:dyDescent="0.2">
      <c r="A81" s="80" t="s">
        <v>167</v>
      </c>
      <c r="B81" s="81">
        <f t="array" ref="B81">SQRT(SUM(POWER(AVERAGE(B77:N77)-(B77:N77),2))/COUNT(B77:N77))*1</f>
        <v>38.649540517948211</v>
      </c>
      <c r="C81" s="15"/>
      <c r="D81" s="15"/>
      <c r="E81" s="15"/>
      <c r="F81" s="15"/>
      <c r="G81" s="15"/>
      <c r="H81" s="15"/>
      <c r="I81" s="15"/>
      <c r="J81" s="15"/>
      <c r="K81" s="15"/>
      <c r="L81" s="15"/>
      <c r="M81" s="15"/>
      <c r="N81" s="15"/>
      <c r="O81" s="15"/>
      <c r="P81" s="15"/>
      <c r="Q81" s="15"/>
      <c r="R81" s="15"/>
      <c r="S81" s="15"/>
      <c r="T81" s="15"/>
      <c r="U81" s="15"/>
      <c r="V81" s="15"/>
      <c r="AA81" s="168"/>
    </row>
    <row r="82" spans="1:27" s="74" customFormat="1" ht="12.75" thickBot="1" x14ac:dyDescent="0.25">
      <c r="A82" s="82" t="s">
        <v>168</v>
      </c>
      <c r="B82" s="83">
        <f>B81/2</f>
        <v>19.324770258974105</v>
      </c>
      <c r="C82" s="15"/>
      <c r="D82" s="15"/>
      <c r="E82" s="15"/>
      <c r="F82" s="15"/>
      <c r="G82" s="15"/>
      <c r="H82" s="15"/>
      <c r="I82" s="15"/>
      <c r="J82" s="15"/>
      <c r="K82" s="15"/>
      <c r="L82" s="15"/>
      <c r="M82" s="15"/>
      <c r="N82" s="15"/>
      <c r="O82" s="15"/>
      <c r="P82" s="15"/>
      <c r="Q82" s="15"/>
      <c r="R82" s="15"/>
      <c r="S82" s="15"/>
      <c r="T82" s="15"/>
      <c r="U82" s="15"/>
      <c r="V82" s="15"/>
      <c r="AA82" s="168"/>
    </row>
    <row r="83" spans="1:27" s="74" customFormat="1" ht="12.75" thickBot="1" x14ac:dyDescent="0.25">
      <c r="V83" s="33"/>
      <c r="AA83" s="168"/>
    </row>
    <row r="84" spans="1:27" s="74" customFormat="1" ht="12.75" thickBot="1" x14ac:dyDescent="0.25">
      <c r="A84" s="745" t="s">
        <v>169</v>
      </c>
      <c r="B84" s="746"/>
    </row>
    <row r="85" spans="1:27" s="74" customFormat="1" ht="12.75" thickBot="1" x14ac:dyDescent="0.25">
      <c r="A85" s="747" t="s">
        <v>170</v>
      </c>
      <c r="B85" s="748"/>
      <c r="E85" s="388"/>
      <c r="F85" s="388"/>
      <c r="G85" s="163"/>
      <c r="J85" s="389"/>
    </row>
    <row r="86" spans="1:27" s="15" customFormat="1" ht="12.75" thickTop="1" x14ac:dyDescent="0.2">
      <c r="A86" s="26" t="s">
        <v>171</v>
      </c>
      <c r="B86" s="167">
        <v>4</v>
      </c>
      <c r="E86" s="388"/>
      <c r="F86" s="390"/>
      <c r="J86" s="168"/>
      <c r="K86" s="74"/>
    </row>
    <row r="87" spans="1:27" s="15" customFormat="1" ht="12" x14ac:dyDescent="0.2">
      <c r="A87" s="31" t="s">
        <v>172</v>
      </c>
      <c r="B87" s="586">
        <v>4</v>
      </c>
      <c r="E87" s="388"/>
      <c r="F87" s="390"/>
      <c r="J87" s="168"/>
      <c r="K87" s="74"/>
    </row>
    <row r="88" spans="1:27" s="15" customFormat="1" ht="12" x14ac:dyDescent="0.2">
      <c r="A88" s="26" t="s">
        <v>173</v>
      </c>
      <c r="B88" s="166">
        <v>2</v>
      </c>
      <c r="J88" s="168"/>
      <c r="K88" s="74"/>
    </row>
    <row r="89" spans="1:27" s="15" customFormat="1" ht="12" x14ac:dyDescent="0.2">
      <c r="A89" s="31" t="s">
        <v>174</v>
      </c>
      <c r="B89" s="166">
        <v>2</v>
      </c>
      <c r="E89" s="30"/>
      <c r="F89" s="30"/>
      <c r="G89" s="30"/>
      <c r="J89" s="64"/>
      <c r="K89" s="64"/>
    </row>
    <row r="90" spans="1:27" s="74" customFormat="1" ht="12" x14ac:dyDescent="0.2">
      <c r="A90" s="31" t="s">
        <v>175</v>
      </c>
      <c r="B90" s="27">
        <v>1</v>
      </c>
      <c r="E90" s="168"/>
      <c r="G90" s="165"/>
      <c r="J90" s="389"/>
      <c r="K90" s="64"/>
    </row>
    <row r="91" spans="1:27" s="74" customFormat="1" ht="12" x14ac:dyDescent="0.2">
      <c r="A91" s="31" t="s">
        <v>176</v>
      </c>
      <c r="B91" s="586">
        <v>2</v>
      </c>
      <c r="E91" s="168"/>
      <c r="G91" s="165"/>
      <c r="J91" s="389"/>
      <c r="K91" s="64"/>
    </row>
    <row r="92" spans="1:27" s="74" customFormat="1" ht="12" x14ac:dyDescent="0.2">
      <c r="A92" s="31" t="s">
        <v>177</v>
      </c>
      <c r="B92" s="587">
        <v>4</v>
      </c>
      <c r="E92" s="168"/>
      <c r="G92" s="165"/>
      <c r="J92" s="64"/>
      <c r="K92" s="64"/>
    </row>
    <row r="93" spans="1:27" s="74" customFormat="1" ht="12" x14ac:dyDescent="0.2">
      <c r="A93" s="31" t="s">
        <v>178</v>
      </c>
      <c r="B93" s="587">
        <v>4</v>
      </c>
      <c r="E93" s="168"/>
      <c r="G93" s="165"/>
      <c r="J93" s="389"/>
      <c r="K93" s="64"/>
    </row>
    <row r="94" spans="1:27" s="74" customFormat="1" ht="12" x14ac:dyDescent="0.2">
      <c r="A94" s="31" t="s">
        <v>179</v>
      </c>
      <c r="B94" s="587">
        <v>1</v>
      </c>
      <c r="E94" s="168"/>
      <c r="G94" s="165"/>
      <c r="J94" s="389"/>
      <c r="K94" s="64"/>
    </row>
    <row r="95" spans="1:27" s="74" customFormat="1" ht="12" x14ac:dyDescent="0.2">
      <c r="A95" s="31" t="s">
        <v>180</v>
      </c>
      <c r="B95" s="587">
        <v>2</v>
      </c>
      <c r="E95" s="168"/>
      <c r="G95" s="165"/>
      <c r="J95" s="389"/>
      <c r="K95" s="64"/>
    </row>
    <row r="96" spans="1:27" s="74" customFormat="1" ht="12" x14ac:dyDescent="0.2">
      <c r="A96" s="31" t="s">
        <v>181</v>
      </c>
      <c r="B96" s="587">
        <v>2</v>
      </c>
      <c r="E96" s="168"/>
      <c r="G96" s="165"/>
      <c r="J96" s="389"/>
      <c r="K96" s="64"/>
    </row>
    <row r="97" spans="1:22" s="74" customFormat="1" ht="12" x14ac:dyDescent="0.2">
      <c r="A97" s="31" t="s">
        <v>182</v>
      </c>
      <c r="B97" s="587">
        <v>2</v>
      </c>
      <c r="E97" s="393"/>
      <c r="F97" s="394"/>
      <c r="G97" s="164"/>
      <c r="J97" s="168"/>
    </row>
    <row r="98" spans="1:22" s="74" customFormat="1" ht="12.75" thickBot="1" x14ac:dyDescent="0.25">
      <c r="A98" s="34" t="s">
        <v>183</v>
      </c>
      <c r="B98" s="35">
        <v>2</v>
      </c>
    </row>
    <row r="99" spans="1:22" s="74" customFormat="1" ht="12.75" thickBot="1" x14ac:dyDescent="0.25"/>
    <row r="100" spans="1:22" s="15" customFormat="1" ht="12.75" thickBot="1" x14ac:dyDescent="0.25">
      <c r="A100" s="745" t="s">
        <v>184</v>
      </c>
      <c r="B100" s="746"/>
    </row>
    <row r="101" spans="1:22" s="15" customFormat="1" ht="12" x14ac:dyDescent="0.2">
      <c r="A101" s="110" t="s">
        <v>185</v>
      </c>
      <c r="B101" s="111" t="s">
        <v>186</v>
      </c>
      <c r="C101" s="111" t="s">
        <v>186</v>
      </c>
      <c r="D101" s="111" t="s">
        <v>186</v>
      </c>
      <c r="E101" s="111" t="s">
        <v>186</v>
      </c>
      <c r="F101" s="111" t="s">
        <v>186</v>
      </c>
      <c r="G101" s="111"/>
      <c r="H101" s="111"/>
      <c r="I101" s="111" t="s">
        <v>186</v>
      </c>
      <c r="J101" s="111"/>
      <c r="K101" s="111"/>
      <c r="L101" s="111"/>
      <c r="M101" s="111" t="s">
        <v>186</v>
      </c>
      <c r="N101" s="111" t="s">
        <v>186</v>
      </c>
      <c r="O101" s="111"/>
      <c r="P101" s="111"/>
      <c r="Q101" s="111"/>
      <c r="R101" s="111"/>
      <c r="S101" s="111"/>
      <c r="T101" s="111"/>
      <c r="U101" s="113" t="s">
        <v>186</v>
      </c>
      <c r="V101" s="161"/>
    </row>
    <row r="102" spans="1:22" s="15" customFormat="1" ht="12.75" thickBot="1" x14ac:dyDescent="0.25">
      <c r="A102" s="82" t="s">
        <v>187</v>
      </c>
      <c r="B102" s="114"/>
      <c r="C102" s="114"/>
      <c r="D102" s="114"/>
      <c r="E102" s="114"/>
      <c r="F102" s="114"/>
      <c r="G102" s="114" t="s">
        <v>186</v>
      </c>
      <c r="H102" s="114" t="s">
        <v>186</v>
      </c>
      <c r="I102" s="114"/>
      <c r="J102" s="114" t="s">
        <v>186</v>
      </c>
      <c r="K102" s="114" t="s">
        <v>186</v>
      </c>
      <c r="L102" s="114" t="s">
        <v>186</v>
      </c>
      <c r="M102" s="114"/>
      <c r="N102" s="114"/>
      <c r="O102" s="114" t="s">
        <v>186</v>
      </c>
      <c r="P102" s="114" t="s">
        <v>186</v>
      </c>
      <c r="Q102" s="114" t="s">
        <v>186</v>
      </c>
      <c r="R102" s="114" t="s">
        <v>186</v>
      </c>
      <c r="S102" s="114" t="s">
        <v>186</v>
      </c>
      <c r="T102" s="114" t="s">
        <v>186</v>
      </c>
      <c r="U102" s="36"/>
      <c r="V102" s="161"/>
    </row>
    <row r="103" spans="1:22" s="74" customFormat="1" ht="12.75" thickBot="1" x14ac:dyDescent="0.25"/>
    <row r="104" spans="1:22" ht="13.5" thickBot="1" x14ac:dyDescent="0.25">
      <c r="A104" s="377" t="s">
        <v>188</v>
      </c>
      <c r="B104" s="736" t="s">
        <v>189</v>
      </c>
      <c r="C104" s="737"/>
      <c r="D104" s="738" t="s">
        <v>190</v>
      </c>
      <c r="E104" s="739"/>
      <c r="F104" s="740" t="s">
        <v>191</v>
      </c>
      <c r="G104" s="741"/>
      <c r="I104" s="260" t="s">
        <v>192</v>
      </c>
    </row>
    <row r="105" spans="1:22" ht="12.75" x14ac:dyDescent="0.2">
      <c r="A105" s="384" t="s">
        <v>193</v>
      </c>
      <c r="B105" s="237"/>
      <c r="C105" s="238"/>
      <c r="D105" s="238"/>
      <c r="E105" s="238"/>
      <c r="F105" s="238"/>
      <c r="G105" s="239"/>
      <c r="I105" s="224" t="s">
        <v>44</v>
      </c>
    </row>
    <row r="106" spans="1:22" ht="12" x14ac:dyDescent="0.2">
      <c r="A106" s="379" t="s">
        <v>194</v>
      </c>
      <c r="B106" s="590">
        <v>1</v>
      </c>
      <c r="C106" s="590"/>
      <c r="D106" s="591"/>
      <c r="E106" s="591"/>
      <c r="F106" s="592"/>
      <c r="G106" s="593">
        <v>0</v>
      </c>
    </row>
    <row r="107" spans="1:22" ht="12" x14ac:dyDescent="0.2">
      <c r="A107" s="379" t="s">
        <v>195</v>
      </c>
      <c r="B107" s="594">
        <v>1</v>
      </c>
      <c r="C107" s="253"/>
      <c r="D107" s="595"/>
      <c r="E107" s="595"/>
      <c r="F107" s="596"/>
      <c r="G107" s="597">
        <v>0</v>
      </c>
    </row>
    <row r="108" spans="1:22" ht="12" x14ac:dyDescent="0.2">
      <c r="A108" s="380" t="str">
        <f t="shared" ref="A108:A121" si="51">A38</f>
        <v>Integrated Mission Systems</v>
      </c>
      <c r="B108" s="499"/>
      <c r="C108" s="598"/>
      <c r="D108" s="598"/>
      <c r="E108" s="598"/>
      <c r="F108" s="598"/>
      <c r="G108" s="599"/>
    </row>
    <row r="109" spans="1:22" ht="12" x14ac:dyDescent="0.2">
      <c r="A109" s="379" t="str">
        <f t="shared" si="51"/>
        <v>Ready MH-60R Command Control Communication Mission Systems (C)</v>
      </c>
      <c r="B109" s="233">
        <v>1</v>
      </c>
      <c r="C109" s="233"/>
      <c r="D109" s="235"/>
      <c r="E109" s="235"/>
      <c r="F109" s="236"/>
      <c r="G109" s="234">
        <v>0</v>
      </c>
    </row>
    <row r="110" spans="1:22" ht="12" x14ac:dyDescent="0.2">
      <c r="A110" s="379" t="str">
        <f t="shared" si="51"/>
        <v>Ready MH-60R Hawk Link Mission Systems (D)</v>
      </c>
      <c r="B110" s="590">
        <v>1</v>
      </c>
      <c r="C110" s="233"/>
      <c r="D110" s="591"/>
      <c r="E110" s="591"/>
      <c r="F110" s="592"/>
      <c r="G110" s="234">
        <v>0</v>
      </c>
    </row>
    <row r="111" spans="1:22" ht="12" x14ac:dyDescent="0.2">
      <c r="A111" s="379" t="str">
        <f t="shared" si="51"/>
        <v>Ready MH-60R ASUW Mission Systems (E)</v>
      </c>
      <c r="B111" s="590">
        <v>1</v>
      </c>
      <c r="C111" s="233"/>
      <c r="D111" s="591"/>
      <c r="E111" s="591"/>
      <c r="F111" s="592"/>
      <c r="G111" s="234">
        <v>0</v>
      </c>
    </row>
    <row r="112" spans="1:22" ht="12" x14ac:dyDescent="0.2">
      <c r="A112" s="379" t="str">
        <f t="shared" si="51"/>
        <v>Ready MH-60R ASW Mission Systems (F)</v>
      </c>
      <c r="B112" s="590">
        <v>1</v>
      </c>
      <c r="C112" s="233"/>
      <c r="D112" s="591"/>
      <c r="E112" s="591"/>
      <c r="F112" s="592"/>
      <c r="G112" s="234">
        <v>0</v>
      </c>
    </row>
    <row r="113" spans="1:7" ht="12" x14ac:dyDescent="0.2">
      <c r="A113" s="379" t="str">
        <f t="shared" si="51"/>
        <v>Ready MH-60R Ordnance Mission Systems (G)</v>
      </c>
      <c r="B113" s="590">
        <v>1</v>
      </c>
      <c r="C113" s="233"/>
      <c r="D113" s="591"/>
      <c r="E113" s="591"/>
      <c r="F113" s="592"/>
      <c r="G113" s="593">
        <v>0</v>
      </c>
    </row>
    <row r="114" spans="1:7" ht="12" x14ac:dyDescent="0.2">
      <c r="A114" s="379" t="str">
        <f t="shared" si="51"/>
        <v>Ready MH-60R Survivability Mission Systems (H)</v>
      </c>
      <c r="B114" s="594">
        <v>1</v>
      </c>
      <c r="C114" s="590"/>
      <c r="D114" s="595"/>
      <c r="E114" s="595"/>
      <c r="F114" s="596"/>
      <c r="G114" s="597">
        <v>0</v>
      </c>
    </row>
    <row r="115" spans="1:7" ht="12" x14ac:dyDescent="0.2">
      <c r="A115" s="379" t="str">
        <f t="shared" si="51"/>
        <v>Ready MH-60R Basic Mission Systems (I)</v>
      </c>
      <c r="B115" s="594">
        <v>1</v>
      </c>
      <c r="C115" s="590"/>
      <c r="D115" s="595"/>
      <c r="E115" s="595"/>
      <c r="F115" s="596"/>
      <c r="G115" s="597">
        <v>0</v>
      </c>
    </row>
    <row r="116" spans="1:7" ht="12" x14ac:dyDescent="0.2">
      <c r="A116" s="379" t="str">
        <f t="shared" si="51"/>
        <v>Ready MH-60R Extended Mobility Mission Systems (J)</v>
      </c>
      <c r="B116" s="594">
        <v>1</v>
      </c>
      <c r="C116" s="590"/>
      <c r="D116" s="595"/>
      <c r="E116" s="595"/>
      <c r="F116" s="596"/>
      <c r="G116" s="597">
        <v>0</v>
      </c>
    </row>
    <row r="117" spans="1:7" ht="12" x14ac:dyDescent="0.2">
      <c r="A117" s="379" t="str">
        <f t="shared" si="51"/>
        <v>Ready MH-60R Shipboard Mission Systems (K)</v>
      </c>
      <c r="B117" s="594">
        <v>1</v>
      </c>
      <c r="C117" s="590"/>
      <c r="D117" s="595"/>
      <c r="E117" s="595"/>
      <c r="F117" s="596"/>
      <c r="G117" s="597">
        <v>0</v>
      </c>
    </row>
    <row r="118" spans="1:7" ht="12" x14ac:dyDescent="0.2">
      <c r="A118" s="379" t="str">
        <f t="shared" si="51"/>
        <v>Ready MH-60R IMC Flight Mission Systems (L)</v>
      </c>
      <c r="B118" s="594">
        <v>1</v>
      </c>
      <c r="C118" s="590"/>
      <c r="D118" s="595"/>
      <c r="E118" s="595"/>
      <c r="F118" s="596"/>
      <c r="G118" s="597">
        <v>0</v>
      </c>
    </row>
    <row r="119" spans="1:7" ht="12" x14ac:dyDescent="0.2">
      <c r="A119" s="381" t="str">
        <f t="shared" si="51"/>
        <v>Non-Integrated Mission Systems</v>
      </c>
      <c r="B119" s="499"/>
      <c r="C119" s="598"/>
      <c r="D119" s="598"/>
      <c r="E119" s="598"/>
      <c r="F119" s="598"/>
      <c r="G119" s="599"/>
    </row>
    <row r="120" spans="1:7" ht="12" x14ac:dyDescent="0.2">
      <c r="A120" s="379" t="str">
        <f t="shared" si="51"/>
        <v>Assigned ALFS</v>
      </c>
      <c r="B120" s="233">
        <v>1</v>
      </c>
      <c r="C120" s="233"/>
      <c r="D120" s="235"/>
      <c r="E120" s="235"/>
      <c r="F120" s="236"/>
      <c r="G120" s="234">
        <v>0</v>
      </c>
    </row>
    <row r="121" spans="1:7" ht="12.75" thickBot="1" x14ac:dyDescent="0.25">
      <c r="A121" s="382" t="str">
        <f t="shared" si="51"/>
        <v xml:space="preserve">Ready ALFS </v>
      </c>
      <c r="B121" s="274">
        <v>1</v>
      </c>
      <c r="C121" s="274"/>
      <c r="D121" s="231"/>
      <c r="E121" s="231"/>
      <c r="F121" s="232"/>
      <c r="G121" s="275">
        <v>0</v>
      </c>
    </row>
    <row r="122" spans="1:7" ht="12" x14ac:dyDescent="0.2">
      <c r="A122" s="15"/>
      <c r="B122" s="15"/>
      <c r="C122" s="15"/>
      <c r="D122" s="15"/>
      <c r="E122" s="15"/>
      <c r="F122" s="15"/>
      <c r="G122" s="15"/>
    </row>
    <row r="124" spans="1:7" x14ac:dyDescent="0.2">
      <c r="A124" s="383" t="s">
        <v>196</v>
      </c>
      <c r="B124" s="383" t="s">
        <v>212</v>
      </c>
    </row>
    <row r="125" spans="1:7" ht="12" x14ac:dyDescent="0.2">
      <c r="A125" s="600" t="s">
        <v>198</v>
      </c>
      <c r="B125" s="601">
        <f>HLOOKUP($B$124,'MH-60R Mission System Summary'!$B$1:$F$12,2,FALSE)</f>
        <v>0.84853598425893895</v>
      </c>
    </row>
    <row r="126" spans="1:7" ht="12" x14ac:dyDescent="0.2">
      <c r="A126" s="600" t="s">
        <v>142</v>
      </c>
      <c r="B126" s="601">
        <f>HLOOKUP($B$124,'MH-60R Mission System Summary'!$B$1:$F$12,3,FALSE)</f>
        <v>0.68830405682621854</v>
      </c>
    </row>
    <row r="127" spans="1:7" ht="12" x14ac:dyDescent="0.2">
      <c r="A127" s="600" t="s">
        <v>143</v>
      </c>
      <c r="B127" s="601">
        <f>HLOOKUP($B$124,'MH-60R Mission System Summary'!$B$1:$F$12,4,FALSE)</f>
        <v>0.52404871580322121</v>
      </c>
    </row>
    <row r="128" spans="1:7" ht="12" x14ac:dyDescent="0.2">
      <c r="A128" s="600" t="s">
        <v>144</v>
      </c>
      <c r="B128" s="601">
        <f>HLOOKUP($B$124,'MH-60R Mission System Summary'!$B$1:$F$12,5,FALSE)</f>
        <v>0.52357122934675915</v>
      </c>
    </row>
    <row r="129" spans="1:2" ht="12" x14ac:dyDescent="0.2">
      <c r="A129" s="600" t="s">
        <v>145</v>
      </c>
      <c r="B129" s="601">
        <f>HLOOKUP($B$124,'MH-60R Mission System Summary'!$B$1:$F$12,6,FALSE)</f>
        <v>0.36138499630176446</v>
      </c>
    </row>
    <row r="130" spans="1:2" ht="12" x14ac:dyDescent="0.2">
      <c r="A130" s="600" t="s">
        <v>146</v>
      </c>
      <c r="B130" s="601">
        <f>HLOOKUP($B$124,'MH-60R Mission System Summary'!$B$1:$F$12,7,FALSE)</f>
        <v>0.45211894134322561</v>
      </c>
    </row>
    <row r="131" spans="1:2" ht="12" x14ac:dyDescent="0.2">
      <c r="A131" s="600" t="s">
        <v>147</v>
      </c>
      <c r="B131" s="601">
        <f>HLOOKUP($B$124,'MH-60R Mission System Summary'!$B$1:$F$12,8,FALSE)</f>
        <v>0.25768352433743502</v>
      </c>
    </row>
    <row r="132" spans="1:2" ht="12" x14ac:dyDescent="0.2">
      <c r="A132" s="600" t="s">
        <v>148</v>
      </c>
      <c r="B132" s="601">
        <f>HLOOKUP($B$124,'MH-60R Mission System Summary'!$B$1:$F$12,9,FALSE)</f>
        <v>0.8573038959505983</v>
      </c>
    </row>
    <row r="133" spans="1:2" ht="12" x14ac:dyDescent="0.2">
      <c r="A133" s="600" t="s">
        <v>149</v>
      </c>
      <c r="B133" s="601">
        <f>HLOOKUP($B$124,'MH-60R Mission System Summary'!$B$1:$F$12,10,FALSE)</f>
        <v>0.33273571372135763</v>
      </c>
    </row>
    <row r="134" spans="1:2" ht="12" x14ac:dyDescent="0.2">
      <c r="A134" s="600" t="s">
        <v>150</v>
      </c>
      <c r="B134" s="601">
        <f>HLOOKUP($B$124,'MH-60R Mission System Summary'!$B$1:$F$12,11,FALSE)</f>
        <v>0.17707512891467972</v>
      </c>
    </row>
    <row r="135" spans="1:2" ht="12" x14ac:dyDescent="0.2">
      <c r="A135" s="600" t="s">
        <v>151</v>
      </c>
      <c r="B135" s="601">
        <f>HLOOKUP($B$124,'MH-60R Mission System Summary'!$B$1:$F$12,12,FALSE)</f>
        <v>1</v>
      </c>
    </row>
  </sheetData>
  <mergeCells count="23">
    <mergeCell ref="AD1:AE1"/>
    <mergeCell ref="B104:C104"/>
    <mergeCell ref="D104:E104"/>
    <mergeCell ref="F104:G104"/>
    <mergeCell ref="A85:B85"/>
    <mergeCell ref="A100:B100"/>
    <mergeCell ref="A84:B84"/>
    <mergeCell ref="A1:F1"/>
    <mergeCell ref="L2:O2"/>
    <mergeCell ref="L8:N8"/>
    <mergeCell ref="M1:P1"/>
    <mergeCell ref="O12:T12"/>
    <mergeCell ref="C16:D16"/>
    <mergeCell ref="G16:H16"/>
    <mergeCell ref="J16:L16"/>
    <mergeCell ref="M16:N16"/>
    <mergeCell ref="A74:U74"/>
    <mergeCell ref="L3:N3"/>
    <mergeCell ref="L4:N4"/>
    <mergeCell ref="L5:N5"/>
    <mergeCell ref="L6:N6"/>
    <mergeCell ref="L7:N7"/>
    <mergeCell ref="L9:N9"/>
  </mergeCells>
  <conditionalFormatting sqref="B35:U35">
    <cfRule type="cellIs" dxfId="107" priority="27" stopIfTrue="1" operator="equal">
      <formula>$B$2*#REF!</formula>
    </cfRule>
  </conditionalFormatting>
  <conditionalFormatting sqref="C106:C115 C119:C121">
    <cfRule type="cellIs" dxfId="106" priority="26" operator="equal">
      <formula>B106</formula>
    </cfRule>
  </conditionalFormatting>
  <conditionalFormatting sqref="D106:E115 D119:E121">
    <cfRule type="cellIs" dxfId="105" priority="25" operator="equal">
      <formula>C106</formula>
    </cfRule>
  </conditionalFormatting>
  <conditionalFormatting sqref="E106">
    <cfRule type="cellIs" dxfId="104" priority="24" operator="equal">
      <formula>D106</formula>
    </cfRule>
  </conditionalFormatting>
  <conditionalFormatting sqref="F106">
    <cfRule type="cellIs" dxfId="103" priority="23" operator="equal">
      <formula>E106</formula>
    </cfRule>
  </conditionalFormatting>
  <conditionalFormatting sqref="F107:F115 F119:F121">
    <cfRule type="cellIs" dxfId="102" priority="21" operator="equal">
      <formula>G107</formula>
    </cfRule>
    <cfRule type="cellIs" dxfId="101" priority="22" operator="equal">
      <formula>E107</formula>
    </cfRule>
  </conditionalFormatting>
  <conditionalFormatting sqref="C106:C115">
    <cfRule type="cellIs" dxfId="100" priority="20" operator="equal">
      <formula>B106</formula>
    </cfRule>
  </conditionalFormatting>
  <conditionalFormatting sqref="D106:E115">
    <cfRule type="cellIs" dxfId="99" priority="19" operator="equal">
      <formula>C106</formula>
    </cfRule>
  </conditionalFormatting>
  <conditionalFormatting sqref="E106">
    <cfRule type="cellIs" dxfId="98" priority="18" operator="equal">
      <formula>D106</formula>
    </cfRule>
  </conditionalFormatting>
  <conditionalFormatting sqref="F106">
    <cfRule type="cellIs" dxfId="97" priority="17" operator="equal">
      <formula>E106</formula>
    </cfRule>
  </conditionalFormatting>
  <conditionalFormatting sqref="F107:F115">
    <cfRule type="cellIs" dxfId="96" priority="15" operator="equal">
      <formula>G107</formula>
    </cfRule>
    <cfRule type="cellIs" dxfId="95" priority="16" operator="equal">
      <formula>E107</formula>
    </cfRule>
  </conditionalFormatting>
  <conditionalFormatting sqref="F106">
    <cfRule type="cellIs" dxfId="94" priority="14" operator="equal">
      <formula>E106</formula>
    </cfRule>
  </conditionalFormatting>
  <conditionalFormatting sqref="C106">
    <cfRule type="cellIs" dxfId="93" priority="13" operator="equal">
      <formula>B106</formula>
    </cfRule>
  </conditionalFormatting>
  <conditionalFormatting sqref="D106">
    <cfRule type="cellIs" dxfId="92" priority="12" operator="equal">
      <formula>C106</formula>
    </cfRule>
  </conditionalFormatting>
  <conditionalFormatting sqref="E106">
    <cfRule type="cellIs" dxfId="91" priority="11" operator="equal">
      <formula>D106</formula>
    </cfRule>
  </conditionalFormatting>
  <conditionalFormatting sqref="D106">
    <cfRule type="cellIs" dxfId="90" priority="10" operator="equal">
      <formula>C106</formula>
    </cfRule>
  </conditionalFormatting>
  <conditionalFormatting sqref="E106">
    <cfRule type="cellIs" dxfId="89" priority="9" operator="equal">
      <formula>D106</formula>
    </cfRule>
  </conditionalFormatting>
  <conditionalFormatting sqref="C116:C118">
    <cfRule type="cellIs" dxfId="88" priority="8" operator="equal">
      <formula>B116</formula>
    </cfRule>
  </conditionalFormatting>
  <conditionalFormatting sqref="D116:E118">
    <cfRule type="cellIs" dxfId="87" priority="7" operator="equal">
      <formula>C116</formula>
    </cfRule>
  </conditionalFormatting>
  <conditionalFormatting sqref="F116:F118">
    <cfRule type="cellIs" dxfId="86" priority="5" operator="equal">
      <formula>G116</formula>
    </cfRule>
    <cfRule type="cellIs" dxfId="85" priority="6" operator="equal">
      <formula>E116</formula>
    </cfRule>
  </conditionalFormatting>
  <conditionalFormatting sqref="C116:C118">
    <cfRule type="cellIs" dxfId="84" priority="4" operator="equal">
      <formula>B116</formula>
    </cfRule>
  </conditionalFormatting>
  <conditionalFormatting sqref="D116:E118">
    <cfRule type="cellIs" dxfId="83" priority="3" operator="equal">
      <formula>C116</formula>
    </cfRule>
  </conditionalFormatting>
  <conditionalFormatting sqref="F116:F118">
    <cfRule type="cellIs" dxfId="82" priority="1" operator="equal">
      <formula>G116</formula>
    </cfRule>
    <cfRule type="cellIs" dxfId="81" priority="2" operator="equal">
      <formula>E116</formula>
    </cfRule>
  </conditionalFormatting>
  <hyperlinks>
    <hyperlink ref="H1" location="Inventory!A1" display="Inventory" xr:uid="{00000000-0004-0000-0500-000000000000}"/>
    <hyperlink ref="I104" location="'MH-60R FDNF 1 plane-2 crew DRRS'!A1" display="Top" xr:uid="{00000000-0004-0000-0500-000001000000}"/>
    <hyperlink ref="H2" location="'MH-60R FDNF 1 plane-2 crew DRRS'!A118" display="AMFOM" xr:uid="{00000000-0004-0000-0500-000002000000}"/>
    <hyperlink ref="I105" location="Inventory!A1" display="Inventory" xr:uid="{00000000-0004-0000-0500-000003000000}"/>
  </hyperlinks>
  <printOptions horizontalCentered="1" verticalCentered="1"/>
  <pageMargins left="0.2" right="0.2" top="1" bottom="1" header="0.5" footer="0.5"/>
  <pageSetup scale="22" orientation="portrait" r:id="rId1"/>
  <headerFooter alignWithMargins="0">
    <oddHeader>&amp;A</oddHeader>
  </headerFooter>
  <ignoredErrors>
    <ignoredError sqref="P55:U55 D55:O55 C54:O54 C56:O60 C55 P60 B63:P63"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X135"/>
  <sheetViews>
    <sheetView showGridLines="0" zoomScaleNormal="100" zoomScaleSheetLayoutView="100" workbookViewId="0">
      <selection activeCell="A126" sqref="A126"/>
    </sheetView>
  </sheetViews>
  <sheetFormatPr defaultRowHeight="11.25" x14ac:dyDescent="0.2"/>
  <cols>
    <col min="1" max="1" width="55" style="58" bestFit="1" customWidth="1"/>
    <col min="2" max="29" width="5.7109375" style="58" customWidth="1"/>
    <col min="30" max="248" width="9.140625" style="58"/>
    <col min="249" max="249" width="49.28515625" style="58" bestFit="1" customWidth="1"/>
    <col min="250" max="250" width="6.5703125" style="58" bestFit="1" customWidth="1"/>
    <col min="251" max="275" width="5.7109375" style="58" customWidth="1"/>
    <col min="276" max="276" width="6.5703125" style="58" bestFit="1" customWidth="1"/>
    <col min="277" max="504" width="9.140625" style="58"/>
    <col min="505" max="505" width="49.28515625" style="58" bestFit="1" customWidth="1"/>
    <col min="506" max="506" width="6.5703125" style="58" bestFit="1" customWidth="1"/>
    <col min="507" max="531" width="5.7109375" style="58" customWidth="1"/>
    <col min="532" max="532" width="6.5703125" style="58" bestFit="1" customWidth="1"/>
    <col min="533" max="760" width="9.140625" style="58"/>
    <col min="761" max="761" width="49.28515625" style="58" bestFit="1" customWidth="1"/>
    <col min="762" max="762" width="6.5703125" style="58" bestFit="1" customWidth="1"/>
    <col min="763" max="787" width="5.7109375" style="58" customWidth="1"/>
    <col min="788" max="788" width="6.5703125" style="58" bestFit="1" customWidth="1"/>
    <col min="789" max="1016" width="9.140625" style="58"/>
    <col min="1017" max="1017" width="49.28515625" style="58" bestFit="1" customWidth="1"/>
    <col min="1018" max="1018" width="6.5703125" style="58" bestFit="1" customWidth="1"/>
    <col min="1019" max="1043" width="5.7109375" style="58" customWidth="1"/>
    <col min="1044" max="1044" width="6.5703125" style="58" bestFit="1" customWidth="1"/>
    <col min="1045" max="1272" width="9.140625" style="58"/>
    <col min="1273" max="1273" width="49.28515625" style="58" bestFit="1" customWidth="1"/>
    <col min="1274" max="1274" width="6.5703125" style="58" bestFit="1" customWidth="1"/>
    <col min="1275" max="1299" width="5.7109375" style="58" customWidth="1"/>
    <col min="1300" max="1300" width="6.5703125" style="58" bestFit="1" customWidth="1"/>
    <col min="1301" max="1528" width="9.140625" style="58"/>
    <col min="1529" max="1529" width="49.28515625" style="58" bestFit="1" customWidth="1"/>
    <col min="1530" max="1530" width="6.5703125" style="58" bestFit="1" customWidth="1"/>
    <col min="1531" max="1555" width="5.7109375" style="58" customWidth="1"/>
    <col min="1556" max="1556" width="6.5703125" style="58" bestFit="1" customWidth="1"/>
    <col min="1557" max="1784" width="9.140625" style="58"/>
    <col min="1785" max="1785" width="49.28515625" style="58" bestFit="1" customWidth="1"/>
    <col min="1786" max="1786" width="6.5703125" style="58" bestFit="1" customWidth="1"/>
    <col min="1787" max="1811" width="5.7109375" style="58" customWidth="1"/>
    <col min="1812" max="1812" width="6.5703125" style="58" bestFit="1" customWidth="1"/>
    <col min="1813" max="2040" width="9.140625" style="58"/>
    <col min="2041" max="2041" width="49.28515625" style="58" bestFit="1" customWidth="1"/>
    <col min="2042" max="2042" width="6.5703125" style="58" bestFit="1" customWidth="1"/>
    <col min="2043" max="2067" width="5.7109375" style="58" customWidth="1"/>
    <col min="2068" max="2068" width="6.5703125" style="58" bestFit="1" customWidth="1"/>
    <col min="2069" max="2296" width="9.140625" style="58"/>
    <col min="2297" max="2297" width="49.28515625" style="58" bestFit="1" customWidth="1"/>
    <col min="2298" max="2298" width="6.5703125" style="58" bestFit="1" customWidth="1"/>
    <col min="2299" max="2323" width="5.7109375" style="58" customWidth="1"/>
    <col min="2324" max="2324" width="6.5703125" style="58" bestFit="1" customWidth="1"/>
    <col min="2325" max="2552" width="9.140625" style="58"/>
    <col min="2553" max="2553" width="49.28515625" style="58" bestFit="1" customWidth="1"/>
    <col min="2554" max="2554" width="6.5703125" style="58" bestFit="1" customWidth="1"/>
    <col min="2555" max="2579" width="5.7109375" style="58" customWidth="1"/>
    <col min="2580" max="2580" width="6.5703125" style="58" bestFit="1" customWidth="1"/>
    <col min="2581" max="2808" width="9.140625" style="58"/>
    <col min="2809" max="2809" width="49.28515625" style="58" bestFit="1" customWidth="1"/>
    <col min="2810" max="2810" width="6.5703125" style="58" bestFit="1" customWidth="1"/>
    <col min="2811" max="2835" width="5.7109375" style="58" customWidth="1"/>
    <col min="2836" max="2836" width="6.5703125" style="58" bestFit="1" customWidth="1"/>
    <col min="2837" max="3064" width="9.140625" style="58"/>
    <col min="3065" max="3065" width="49.28515625" style="58" bestFit="1" customWidth="1"/>
    <col min="3066" max="3066" width="6.5703125" style="58" bestFit="1" customWidth="1"/>
    <col min="3067" max="3091" width="5.7109375" style="58" customWidth="1"/>
    <col min="3092" max="3092" width="6.5703125" style="58" bestFit="1" customWidth="1"/>
    <col min="3093" max="3320" width="9.140625" style="58"/>
    <col min="3321" max="3321" width="49.28515625" style="58" bestFit="1" customWidth="1"/>
    <col min="3322" max="3322" width="6.5703125" style="58" bestFit="1" customWidth="1"/>
    <col min="3323" max="3347" width="5.7109375" style="58" customWidth="1"/>
    <col min="3348" max="3348" width="6.5703125" style="58" bestFit="1" customWidth="1"/>
    <col min="3349" max="3576" width="9.140625" style="58"/>
    <col min="3577" max="3577" width="49.28515625" style="58" bestFit="1" customWidth="1"/>
    <col min="3578" max="3578" width="6.5703125" style="58" bestFit="1" customWidth="1"/>
    <col min="3579" max="3603" width="5.7109375" style="58" customWidth="1"/>
    <col min="3604" max="3604" width="6.5703125" style="58" bestFit="1" customWidth="1"/>
    <col min="3605" max="3832" width="9.140625" style="58"/>
    <col min="3833" max="3833" width="49.28515625" style="58" bestFit="1" customWidth="1"/>
    <col min="3834" max="3834" width="6.5703125" style="58" bestFit="1" customWidth="1"/>
    <col min="3835" max="3859" width="5.7109375" style="58" customWidth="1"/>
    <col min="3860" max="3860" width="6.5703125" style="58" bestFit="1" customWidth="1"/>
    <col min="3861" max="4088" width="9.140625" style="58"/>
    <col min="4089" max="4089" width="49.28515625" style="58" bestFit="1" customWidth="1"/>
    <col min="4090" max="4090" width="6.5703125" style="58" bestFit="1" customWidth="1"/>
    <col min="4091" max="4115" width="5.7109375" style="58" customWidth="1"/>
    <col min="4116" max="4116" width="6.5703125" style="58" bestFit="1" customWidth="1"/>
    <col min="4117" max="4344" width="9.140625" style="58"/>
    <col min="4345" max="4345" width="49.28515625" style="58" bestFit="1" customWidth="1"/>
    <col min="4346" max="4346" width="6.5703125" style="58" bestFit="1" customWidth="1"/>
    <col min="4347" max="4371" width="5.7109375" style="58" customWidth="1"/>
    <col min="4372" max="4372" width="6.5703125" style="58" bestFit="1" customWidth="1"/>
    <col min="4373" max="4600" width="9.140625" style="58"/>
    <col min="4601" max="4601" width="49.28515625" style="58" bestFit="1" customWidth="1"/>
    <col min="4602" max="4602" width="6.5703125" style="58" bestFit="1" customWidth="1"/>
    <col min="4603" max="4627" width="5.7109375" style="58" customWidth="1"/>
    <col min="4628" max="4628" width="6.5703125" style="58" bestFit="1" customWidth="1"/>
    <col min="4629" max="4856" width="9.140625" style="58"/>
    <col min="4857" max="4857" width="49.28515625" style="58" bestFit="1" customWidth="1"/>
    <col min="4858" max="4858" width="6.5703125" style="58" bestFit="1" customWidth="1"/>
    <col min="4859" max="4883" width="5.7109375" style="58" customWidth="1"/>
    <col min="4884" max="4884" width="6.5703125" style="58" bestFit="1" customWidth="1"/>
    <col min="4885" max="5112" width="9.140625" style="58"/>
    <col min="5113" max="5113" width="49.28515625" style="58" bestFit="1" customWidth="1"/>
    <col min="5114" max="5114" width="6.5703125" style="58" bestFit="1" customWidth="1"/>
    <col min="5115" max="5139" width="5.7109375" style="58" customWidth="1"/>
    <col min="5140" max="5140" width="6.5703125" style="58" bestFit="1" customWidth="1"/>
    <col min="5141" max="5368" width="9.140625" style="58"/>
    <col min="5369" max="5369" width="49.28515625" style="58" bestFit="1" customWidth="1"/>
    <col min="5370" max="5370" width="6.5703125" style="58" bestFit="1" customWidth="1"/>
    <col min="5371" max="5395" width="5.7109375" style="58" customWidth="1"/>
    <col min="5396" max="5396" width="6.5703125" style="58" bestFit="1" customWidth="1"/>
    <col min="5397" max="5624" width="9.140625" style="58"/>
    <col min="5625" max="5625" width="49.28515625" style="58" bestFit="1" customWidth="1"/>
    <col min="5626" max="5626" width="6.5703125" style="58" bestFit="1" customWidth="1"/>
    <col min="5627" max="5651" width="5.7109375" style="58" customWidth="1"/>
    <col min="5652" max="5652" width="6.5703125" style="58" bestFit="1" customWidth="1"/>
    <col min="5653" max="5880" width="9.140625" style="58"/>
    <col min="5881" max="5881" width="49.28515625" style="58" bestFit="1" customWidth="1"/>
    <col min="5882" max="5882" width="6.5703125" style="58" bestFit="1" customWidth="1"/>
    <col min="5883" max="5907" width="5.7109375" style="58" customWidth="1"/>
    <col min="5908" max="5908" width="6.5703125" style="58" bestFit="1" customWidth="1"/>
    <col min="5909" max="6136" width="9.140625" style="58"/>
    <col min="6137" max="6137" width="49.28515625" style="58" bestFit="1" customWidth="1"/>
    <col min="6138" max="6138" width="6.5703125" style="58" bestFit="1" customWidth="1"/>
    <col min="6139" max="6163" width="5.7109375" style="58" customWidth="1"/>
    <col min="6164" max="6164" width="6.5703125" style="58" bestFit="1" customWidth="1"/>
    <col min="6165" max="6392" width="9.140625" style="58"/>
    <col min="6393" max="6393" width="49.28515625" style="58" bestFit="1" customWidth="1"/>
    <col min="6394" max="6394" width="6.5703125" style="58" bestFit="1" customWidth="1"/>
    <col min="6395" max="6419" width="5.7109375" style="58" customWidth="1"/>
    <col min="6420" max="6420" width="6.5703125" style="58" bestFit="1" customWidth="1"/>
    <col min="6421" max="6648" width="9.140625" style="58"/>
    <col min="6649" max="6649" width="49.28515625" style="58" bestFit="1" customWidth="1"/>
    <col min="6650" max="6650" width="6.5703125" style="58" bestFit="1" customWidth="1"/>
    <col min="6651" max="6675" width="5.7109375" style="58" customWidth="1"/>
    <col min="6676" max="6676" width="6.5703125" style="58" bestFit="1" customWidth="1"/>
    <col min="6677" max="6904" width="9.140625" style="58"/>
    <col min="6905" max="6905" width="49.28515625" style="58" bestFit="1" customWidth="1"/>
    <col min="6906" max="6906" width="6.5703125" style="58" bestFit="1" customWidth="1"/>
    <col min="6907" max="6931" width="5.7109375" style="58" customWidth="1"/>
    <col min="6932" max="6932" width="6.5703125" style="58" bestFit="1" customWidth="1"/>
    <col min="6933" max="7160" width="9.140625" style="58"/>
    <col min="7161" max="7161" width="49.28515625" style="58" bestFit="1" customWidth="1"/>
    <col min="7162" max="7162" width="6.5703125" style="58" bestFit="1" customWidth="1"/>
    <col min="7163" max="7187" width="5.7109375" style="58" customWidth="1"/>
    <col min="7188" max="7188" width="6.5703125" style="58" bestFit="1" customWidth="1"/>
    <col min="7189" max="7416" width="9.140625" style="58"/>
    <col min="7417" max="7417" width="49.28515625" style="58" bestFit="1" customWidth="1"/>
    <col min="7418" max="7418" width="6.5703125" style="58" bestFit="1" customWidth="1"/>
    <col min="7419" max="7443" width="5.7109375" style="58" customWidth="1"/>
    <col min="7444" max="7444" width="6.5703125" style="58" bestFit="1" customWidth="1"/>
    <col min="7445" max="7672" width="9.140625" style="58"/>
    <col min="7673" max="7673" width="49.28515625" style="58" bestFit="1" customWidth="1"/>
    <col min="7674" max="7674" width="6.5703125" style="58" bestFit="1" customWidth="1"/>
    <col min="7675" max="7699" width="5.7109375" style="58" customWidth="1"/>
    <col min="7700" max="7700" width="6.5703125" style="58" bestFit="1" customWidth="1"/>
    <col min="7701" max="7928" width="9.140625" style="58"/>
    <col min="7929" max="7929" width="49.28515625" style="58" bestFit="1" customWidth="1"/>
    <col min="7930" max="7930" width="6.5703125" style="58" bestFit="1" customWidth="1"/>
    <col min="7931" max="7955" width="5.7109375" style="58" customWidth="1"/>
    <col min="7956" max="7956" width="6.5703125" style="58" bestFit="1" customWidth="1"/>
    <col min="7957" max="8184" width="9.140625" style="58"/>
    <col min="8185" max="8185" width="49.28515625" style="58" bestFit="1" customWidth="1"/>
    <col min="8186" max="8186" width="6.5703125" style="58" bestFit="1" customWidth="1"/>
    <col min="8187" max="8211" width="5.7109375" style="58" customWidth="1"/>
    <col min="8212" max="8212" width="6.5703125" style="58" bestFit="1" customWidth="1"/>
    <col min="8213" max="8440" width="9.140625" style="58"/>
    <col min="8441" max="8441" width="49.28515625" style="58" bestFit="1" customWidth="1"/>
    <col min="8442" max="8442" width="6.5703125" style="58" bestFit="1" customWidth="1"/>
    <col min="8443" max="8467" width="5.7109375" style="58" customWidth="1"/>
    <col min="8468" max="8468" width="6.5703125" style="58" bestFit="1" customWidth="1"/>
    <col min="8469" max="8696" width="9.140625" style="58"/>
    <col min="8697" max="8697" width="49.28515625" style="58" bestFit="1" customWidth="1"/>
    <col min="8698" max="8698" width="6.5703125" style="58" bestFit="1" customWidth="1"/>
    <col min="8699" max="8723" width="5.7109375" style="58" customWidth="1"/>
    <col min="8724" max="8724" width="6.5703125" style="58" bestFit="1" customWidth="1"/>
    <col min="8725" max="8952" width="9.140625" style="58"/>
    <col min="8953" max="8953" width="49.28515625" style="58" bestFit="1" customWidth="1"/>
    <col min="8954" max="8954" width="6.5703125" style="58" bestFit="1" customWidth="1"/>
    <col min="8955" max="8979" width="5.7109375" style="58" customWidth="1"/>
    <col min="8980" max="8980" width="6.5703125" style="58" bestFit="1" customWidth="1"/>
    <col min="8981" max="9208" width="9.140625" style="58"/>
    <col min="9209" max="9209" width="49.28515625" style="58" bestFit="1" customWidth="1"/>
    <col min="9210" max="9210" width="6.5703125" style="58" bestFit="1" customWidth="1"/>
    <col min="9211" max="9235" width="5.7109375" style="58" customWidth="1"/>
    <col min="9236" max="9236" width="6.5703125" style="58" bestFit="1" customWidth="1"/>
    <col min="9237" max="9464" width="9.140625" style="58"/>
    <col min="9465" max="9465" width="49.28515625" style="58" bestFit="1" customWidth="1"/>
    <col min="9466" max="9466" width="6.5703125" style="58" bestFit="1" customWidth="1"/>
    <col min="9467" max="9491" width="5.7109375" style="58" customWidth="1"/>
    <col min="9492" max="9492" width="6.5703125" style="58" bestFit="1" customWidth="1"/>
    <col min="9493" max="9720" width="9.140625" style="58"/>
    <col min="9721" max="9721" width="49.28515625" style="58" bestFit="1" customWidth="1"/>
    <col min="9722" max="9722" width="6.5703125" style="58" bestFit="1" customWidth="1"/>
    <col min="9723" max="9747" width="5.7109375" style="58" customWidth="1"/>
    <col min="9748" max="9748" width="6.5703125" style="58" bestFit="1" customWidth="1"/>
    <col min="9749" max="9976" width="9.140625" style="58"/>
    <col min="9977" max="9977" width="49.28515625" style="58" bestFit="1" customWidth="1"/>
    <col min="9978" max="9978" width="6.5703125" style="58" bestFit="1" customWidth="1"/>
    <col min="9979" max="10003" width="5.7109375" style="58" customWidth="1"/>
    <col min="10004" max="10004" width="6.5703125" style="58" bestFit="1" customWidth="1"/>
    <col min="10005" max="10232" width="9.140625" style="58"/>
    <col min="10233" max="10233" width="49.28515625" style="58" bestFit="1" customWidth="1"/>
    <col min="10234" max="10234" width="6.5703125" style="58" bestFit="1" customWidth="1"/>
    <col min="10235" max="10259" width="5.7109375" style="58" customWidth="1"/>
    <col min="10260" max="10260" width="6.5703125" style="58" bestFit="1" customWidth="1"/>
    <col min="10261" max="10488" width="9.140625" style="58"/>
    <col min="10489" max="10489" width="49.28515625" style="58" bestFit="1" customWidth="1"/>
    <col min="10490" max="10490" width="6.5703125" style="58" bestFit="1" customWidth="1"/>
    <col min="10491" max="10515" width="5.7109375" style="58" customWidth="1"/>
    <col min="10516" max="10516" width="6.5703125" style="58" bestFit="1" customWidth="1"/>
    <col min="10517" max="10744" width="9.140625" style="58"/>
    <col min="10745" max="10745" width="49.28515625" style="58" bestFit="1" customWidth="1"/>
    <col min="10746" max="10746" width="6.5703125" style="58" bestFit="1" customWidth="1"/>
    <col min="10747" max="10771" width="5.7109375" style="58" customWidth="1"/>
    <col min="10772" max="10772" width="6.5703125" style="58" bestFit="1" customWidth="1"/>
    <col min="10773" max="11000" width="9.140625" style="58"/>
    <col min="11001" max="11001" width="49.28515625" style="58" bestFit="1" customWidth="1"/>
    <col min="11002" max="11002" width="6.5703125" style="58" bestFit="1" customWidth="1"/>
    <col min="11003" max="11027" width="5.7109375" style="58" customWidth="1"/>
    <col min="11028" max="11028" width="6.5703125" style="58" bestFit="1" customWidth="1"/>
    <col min="11029" max="11256" width="9.140625" style="58"/>
    <col min="11257" max="11257" width="49.28515625" style="58" bestFit="1" customWidth="1"/>
    <col min="11258" max="11258" width="6.5703125" style="58" bestFit="1" customWidth="1"/>
    <col min="11259" max="11283" width="5.7109375" style="58" customWidth="1"/>
    <col min="11284" max="11284" width="6.5703125" style="58" bestFit="1" customWidth="1"/>
    <col min="11285" max="11512" width="9.140625" style="58"/>
    <col min="11513" max="11513" width="49.28515625" style="58" bestFit="1" customWidth="1"/>
    <col min="11514" max="11514" width="6.5703125" style="58" bestFit="1" customWidth="1"/>
    <col min="11515" max="11539" width="5.7109375" style="58" customWidth="1"/>
    <col min="11540" max="11540" width="6.5703125" style="58" bestFit="1" customWidth="1"/>
    <col min="11541" max="11768" width="9.140625" style="58"/>
    <col min="11769" max="11769" width="49.28515625" style="58" bestFit="1" customWidth="1"/>
    <col min="11770" max="11770" width="6.5703125" style="58" bestFit="1" customWidth="1"/>
    <col min="11771" max="11795" width="5.7109375" style="58" customWidth="1"/>
    <col min="11796" max="11796" width="6.5703125" style="58" bestFit="1" customWidth="1"/>
    <col min="11797" max="12024" width="9.140625" style="58"/>
    <col min="12025" max="12025" width="49.28515625" style="58" bestFit="1" customWidth="1"/>
    <col min="12026" max="12026" width="6.5703125" style="58" bestFit="1" customWidth="1"/>
    <col min="12027" max="12051" width="5.7109375" style="58" customWidth="1"/>
    <col min="12052" max="12052" width="6.5703125" style="58" bestFit="1" customWidth="1"/>
    <col min="12053" max="12280" width="9.140625" style="58"/>
    <col min="12281" max="12281" width="49.28515625" style="58" bestFit="1" customWidth="1"/>
    <col min="12282" max="12282" width="6.5703125" style="58" bestFit="1" customWidth="1"/>
    <col min="12283" max="12307" width="5.7109375" style="58" customWidth="1"/>
    <col min="12308" max="12308" width="6.5703125" style="58" bestFit="1" customWidth="1"/>
    <col min="12309" max="12536" width="9.140625" style="58"/>
    <col min="12537" max="12537" width="49.28515625" style="58" bestFit="1" customWidth="1"/>
    <col min="12538" max="12538" width="6.5703125" style="58" bestFit="1" customWidth="1"/>
    <col min="12539" max="12563" width="5.7109375" style="58" customWidth="1"/>
    <col min="12564" max="12564" width="6.5703125" style="58" bestFit="1" customWidth="1"/>
    <col min="12565" max="12792" width="9.140625" style="58"/>
    <col min="12793" max="12793" width="49.28515625" style="58" bestFit="1" customWidth="1"/>
    <col min="12794" max="12794" width="6.5703125" style="58" bestFit="1" customWidth="1"/>
    <col min="12795" max="12819" width="5.7109375" style="58" customWidth="1"/>
    <col min="12820" max="12820" width="6.5703125" style="58" bestFit="1" customWidth="1"/>
    <col min="12821" max="13048" width="9.140625" style="58"/>
    <col min="13049" max="13049" width="49.28515625" style="58" bestFit="1" customWidth="1"/>
    <col min="13050" max="13050" width="6.5703125" style="58" bestFit="1" customWidth="1"/>
    <col min="13051" max="13075" width="5.7109375" style="58" customWidth="1"/>
    <col min="13076" max="13076" width="6.5703125" style="58" bestFit="1" customWidth="1"/>
    <col min="13077" max="13304" width="9.140625" style="58"/>
    <col min="13305" max="13305" width="49.28515625" style="58" bestFit="1" customWidth="1"/>
    <col min="13306" max="13306" width="6.5703125" style="58" bestFit="1" customWidth="1"/>
    <col min="13307" max="13331" width="5.7109375" style="58" customWidth="1"/>
    <col min="13332" max="13332" width="6.5703125" style="58" bestFit="1" customWidth="1"/>
    <col min="13333" max="13560" width="9.140625" style="58"/>
    <col min="13561" max="13561" width="49.28515625" style="58" bestFit="1" customWidth="1"/>
    <col min="13562" max="13562" width="6.5703125" style="58" bestFit="1" customWidth="1"/>
    <col min="13563" max="13587" width="5.7109375" style="58" customWidth="1"/>
    <col min="13588" max="13588" width="6.5703125" style="58" bestFit="1" customWidth="1"/>
    <col min="13589" max="13816" width="9.140625" style="58"/>
    <col min="13817" max="13817" width="49.28515625" style="58" bestFit="1" customWidth="1"/>
    <col min="13818" max="13818" width="6.5703125" style="58" bestFit="1" customWidth="1"/>
    <col min="13819" max="13843" width="5.7109375" style="58" customWidth="1"/>
    <col min="13844" max="13844" width="6.5703125" style="58" bestFit="1" customWidth="1"/>
    <col min="13845" max="14072" width="9.140625" style="58"/>
    <col min="14073" max="14073" width="49.28515625" style="58" bestFit="1" customWidth="1"/>
    <col min="14074" max="14074" width="6.5703125" style="58" bestFit="1" customWidth="1"/>
    <col min="14075" max="14099" width="5.7109375" style="58" customWidth="1"/>
    <col min="14100" max="14100" width="6.5703125" style="58" bestFit="1" customWidth="1"/>
    <col min="14101" max="14328" width="9.140625" style="58"/>
    <col min="14329" max="14329" width="49.28515625" style="58" bestFit="1" customWidth="1"/>
    <col min="14330" max="14330" width="6.5703125" style="58" bestFit="1" customWidth="1"/>
    <col min="14331" max="14355" width="5.7109375" style="58" customWidth="1"/>
    <col min="14356" max="14356" width="6.5703125" style="58" bestFit="1" customWidth="1"/>
    <col min="14357" max="14584" width="9.140625" style="58"/>
    <col min="14585" max="14585" width="49.28515625" style="58" bestFit="1" customWidth="1"/>
    <col min="14586" max="14586" width="6.5703125" style="58" bestFit="1" customWidth="1"/>
    <col min="14587" max="14611" width="5.7109375" style="58" customWidth="1"/>
    <col min="14612" max="14612" width="6.5703125" style="58" bestFit="1" customWidth="1"/>
    <col min="14613" max="14840" width="9.140625" style="58"/>
    <col min="14841" max="14841" width="49.28515625" style="58" bestFit="1" customWidth="1"/>
    <col min="14842" max="14842" width="6.5703125" style="58" bestFit="1" customWidth="1"/>
    <col min="14843" max="14867" width="5.7109375" style="58" customWidth="1"/>
    <col min="14868" max="14868" width="6.5703125" style="58" bestFit="1" customWidth="1"/>
    <col min="14869" max="15096" width="9.140625" style="58"/>
    <col min="15097" max="15097" width="49.28515625" style="58" bestFit="1" customWidth="1"/>
    <col min="15098" max="15098" width="6.5703125" style="58" bestFit="1" customWidth="1"/>
    <col min="15099" max="15123" width="5.7109375" style="58" customWidth="1"/>
    <col min="15124" max="15124" width="6.5703125" style="58" bestFit="1" customWidth="1"/>
    <col min="15125" max="15352" width="9.140625" style="58"/>
    <col min="15353" max="15353" width="49.28515625" style="58" bestFit="1" customWidth="1"/>
    <col min="15354" max="15354" width="6.5703125" style="58" bestFit="1" customWidth="1"/>
    <col min="15355" max="15379" width="5.7109375" style="58" customWidth="1"/>
    <col min="15380" max="15380" width="6.5703125" style="58" bestFit="1" customWidth="1"/>
    <col min="15381" max="15608" width="9.140625" style="58"/>
    <col min="15609" max="15609" width="49.28515625" style="58" bestFit="1" customWidth="1"/>
    <col min="15610" max="15610" width="6.5703125" style="58" bestFit="1" customWidth="1"/>
    <col min="15611" max="15635" width="5.7109375" style="58" customWidth="1"/>
    <col min="15636" max="15636" width="6.5703125" style="58" bestFit="1" customWidth="1"/>
    <col min="15637" max="15864" width="9.140625" style="58"/>
    <col min="15865" max="15865" width="49.28515625" style="58" bestFit="1" customWidth="1"/>
    <col min="15866" max="15866" width="6.5703125" style="58" bestFit="1" customWidth="1"/>
    <col min="15867" max="15891" width="5.7109375" style="58" customWidth="1"/>
    <col min="15892" max="15892" width="6.5703125" style="58" bestFit="1" customWidth="1"/>
    <col min="15893" max="16120" width="9.140625" style="58"/>
    <col min="16121" max="16121" width="49.28515625" style="58" bestFit="1" customWidth="1"/>
    <col min="16122" max="16122" width="6.5703125" style="58" bestFit="1" customWidth="1"/>
    <col min="16123" max="16147" width="5.7109375" style="58" customWidth="1"/>
    <col min="16148" max="16148" width="6.5703125" style="58" bestFit="1" customWidth="1"/>
    <col min="16149" max="16384" width="9.140625" style="58"/>
  </cols>
  <sheetData>
    <row r="1" spans="1:30" s="223" customFormat="1" ht="18.75" x14ac:dyDescent="0.3">
      <c r="A1" s="755" t="s">
        <v>213</v>
      </c>
      <c r="B1" s="755"/>
      <c r="C1" s="755"/>
      <c r="D1" s="755"/>
      <c r="E1" s="755"/>
      <c r="F1" s="755"/>
      <c r="G1" s="225"/>
      <c r="H1" s="224" t="s">
        <v>44</v>
      </c>
      <c r="L1" s="147" t="s">
        <v>45</v>
      </c>
      <c r="M1" s="728">
        <v>44835</v>
      </c>
      <c r="N1" s="729"/>
      <c r="O1" s="730"/>
      <c r="P1" s="730"/>
      <c r="AC1" s="371" t="s">
        <v>46</v>
      </c>
      <c r="AD1" s="455">
        <v>6.05</v>
      </c>
    </row>
    <row r="2" spans="1:30" ht="12.75" x14ac:dyDescent="0.2">
      <c r="A2" s="215" t="s">
        <v>47</v>
      </c>
      <c r="B2" s="2">
        <v>2</v>
      </c>
      <c r="C2" s="3"/>
      <c r="D2" s="3"/>
      <c r="H2" s="325" t="s">
        <v>3</v>
      </c>
      <c r="L2" s="742" t="s">
        <v>48</v>
      </c>
      <c r="M2" s="743"/>
      <c r="N2" s="743"/>
      <c r="O2" s="744"/>
    </row>
    <row r="3" spans="1:30" x14ac:dyDescent="0.2">
      <c r="A3" s="215" t="s">
        <v>49</v>
      </c>
      <c r="B3" s="102">
        <f>B4/B2</f>
        <v>1.5</v>
      </c>
      <c r="L3" s="721" t="s">
        <v>50</v>
      </c>
      <c r="M3" s="722"/>
      <c r="N3" s="723"/>
      <c r="O3" s="486">
        <v>0.2</v>
      </c>
    </row>
    <row r="4" spans="1:30" x14ac:dyDescent="0.2">
      <c r="A4" s="215" t="s">
        <v>51</v>
      </c>
      <c r="B4" s="3">
        <v>3</v>
      </c>
      <c r="C4" s="3"/>
      <c r="D4" s="222"/>
      <c r="L4" s="749" t="s">
        <v>52</v>
      </c>
      <c r="M4" s="749"/>
      <c r="N4" s="749"/>
      <c r="O4" s="486">
        <v>0.4</v>
      </c>
    </row>
    <row r="5" spans="1:30" x14ac:dyDescent="0.2">
      <c r="A5" s="215" t="s">
        <v>53</v>
      </c>
      <c r="B5" s="3">
        <v>2</v>
      </c>
      <c r="C5" s="8"/>
      <c r="D5" s="3"/>
      <c r="E5" s="3"/>
      <c r="F5" s="10"/>
      <c r="G5" s="10"/>
      <c r="L5" s="750" t="s">
        <v>54</v>
      </c>
      <c r="M5" s="750"/>
      <c r="N5" s="750"/>
      <c r="O5" s="487">
        <v>0.55000000000000004</v>
      </c>
    </row>
    <row r="6" spans="1:30" s="220" customFormat="1" x14ac:dyDescent="0.2">
      <c r="A6" s="221" t="s">
        <v>55</v>
      </c>
      <c r="B6" s="3">
        <v>27.4</v>
      </c>
      <c r="C6" s="58"/>
      <c r="D6" s="3"/>
      <c r="E6" s="3"/>
      <c r="F6" s="10"/>
      <c r="G6" s="10"/>
      <c r="L6" s="749" t="s">
        <v>56</v>
      </c>
      <c r="M6" s="749"/>
      <c r="N6" s="749"/>
      <c r="O6" s="486">
        <v>0.55000000000000004</v>
      </c>
    </row>
    <row r="7" spans="1:30" x14ac:dyDescent="0.2">
      <c r="A7" s="215" t="s">
        <v>57</v>
      </c>
      <c r="B7" s="148">
        <f>B6*B4</f>
        <v>82.199999999999989</v>
      </c>
      <c r="C7" s="220"/>
      <c r="D7" s="217"/>
      <c r="E7" s="219"/>
      <c r="F7" s="218"/>
      <c r="G7" s="218"/>
      <c r="L7" s="751" t="s">
        <v>58</v>
      </c>
      <c r="M7" s="752"/>
      <c r="N7" s="753"/>
      <c r="O7" s="486">
        <v>0.6</v>
      </c>
    </row>
    <row r="8" spans="1:30" x14ac:dyDescent="0.2">
      <c r="A8" s="215" t="s">
        <v>59</v>
      </c>
      <c r="B8" s="3">
        <f>B7/B5</f>
        <v>41.099999999999994</v>
      </c>
      <c r="C8" s="3"/>
      <c r="D8" s="217"/>
      <c r="E8" s="3"/>
      <c r="F8" s="3"/>
      <c r="G8" s="10"/>
      <c r="H8" s="216"/>
      <c r="L8" s="721" t="s">
        <v>61</v>
      </c>
      <c r="M8" s="722"/>
      <c r="N8" s="723"/>
      <c r="O8" s="486">
        <v>0.75</v>
      </c>
    </row>
    <row r="9" spans="1:30" x14ac:dyDescent="0.2">
      <c r="A9" s="215" t="s">
        <v>62</v>
      </c>
      <c r="B9" s="3">
        <f>C9*$B$4</f>
        <v>3</v>
      </c>
      <c r="C9" s="3">
        <v>1</v>
      </c>
      <c r="D9" s="5" t="s">
        <v>60</v>
      </c>
      <c r="F9" s="7"/>
      <c r="G9" s="102" t="s">
        <v>63</v>
      </c>
      <c r="H9" s="103">
        <v>0.4</v>
      </c>
      <c r="I9" s="189"/>
      <c r="J9" s="189"/>
      <c r="K9" s="276"/>
      <c r="L9" s="754" t="s">
        <v>64</v>
      </c>
      <c r="M9" s="754"/>
      <c r="N9" s="754"/>
      <c r="O9" s="43"/>
    </row>
    <row r="10" spans="1:30" x14ac:dyDescent="0.2">
      <c r="A10" s="215" t="s">
        <v>65</v>
      </c>
      <c r="B10" s="3">
        <f>C10*$B$4</f>
        <v>44.28</v>
      </c>
      <c r="C10" s="136">
        <v>14.76</v>
      </c>
      <c r="D10" s="5" t="s">
        <v>60</v>
      </c>
      <c r="F10" s="7"/>
      <c r="G10" s="104" t="s">
        <v>66</v>
      </c>
      <c r="H10" s="103">
        <v>0.28699999999999998</v>
      </c>
      <c r="I10" s="214"/>
      <c r="J10" s="189"/>
      <c r="K10" s="213"/>
      <c r="L10" s="4"/>
      <c r="M10" s="4"/>
      <c r="N10" s="3"/>
    </row>
    <row r="11" spans="1:30" s="204" customFormat="1" ht="12" thickBot="1" x14ac:dyDescent="0.25">
      <c r="A11" s="215" t="s">
        <v>67</v>
      </c>
      <c r="B11" s="5">
        <f>C11*B4</f>
        <v>10.8</v>
      </c>
      <c r="C11" s="6">
        <v>3.6</v>
      </c>
      <c r="D11" s="12" t="s">
        <v>60</v>
      </c>
      <c r="E11" s="210"/>
      <c r="F11" s="209"/>
      <c r="G11" s="209"/>
      <c r="H11" s="209"/>
      <c r="I11" s="208"/>
      <c r="J11" s="208"/>
      <c r="K11" s="208"/>
      <c r="L11" s="208"/>
      <c r="M11" s="208"/>
      <c r="N11" s="208"/>
    </row>
    <row r="12" spans="1:30" s="204" customFormat="1" ht="12" thickBot="1" x14ac:dyDescent="0.25">
      <c r="A12" s="149"/>
      <c r="B12" s="212"/>
      <c r="C12" s="211"/>
      <c r="D12" s="398"/>
      <c r="E12" s="399"/>
      <c r="F12" s="209"/>
      <c r="G12" s="209"/>
      <c r="H12" s="209"/>
      <c r="I12" s="208"/>
      <c r="J12" s="208"/>
      <c r="K12" s="208"/>
      <c r="L12" s="208"/>
      <c r="M12" s="208"/>
      <c r="N12" s="208"/>
      <c r="O12" s="767" t="s">
        <v>68</v>
      </c>
      <c r="P12" s="768"/>
      <c r="Q12" s="768"/>
      <c r="R12" s="768"/>
      <c r="S12" s="768"/>
      <c r="T12" s="769"/>
    </row>
    <row r="13" spans="1:30" s="204" customFormat="1" ht="59.25" x14ac:dyDescent="0.2">
      <c r="A13" s="488" t="s">
        <v>69</v>
      </c>
      <c r="B13" s="631" t="s">
        <v>52</v>
      </c>
      <c r="C13" s="631" t="s">
        <v>50</v>
      </c>
      <c r="D13" s="397" t="s">
        <v>56</v>
      </c>
      <c r="E13" s="397" t="s">
        <v>56</v>
      </c>
      <c r="F13" s="631" t="s">
        <v>58</v>
      </c>
      <c r="G13" s="631" t="s">
        <v>61</v>
      </c>
      <c r="H13" s="631" t="s">
        <v>61</v>
      </c>
      <c r="I13" s="631" t="s">
        <v>58</v>
      </c>
      <c r="J13" s="631" t="s">
        <v>61</v>
      </c>
      <c r="K13" s="631" t="s">
        <v>61</v>
      </c>
      <c r="L13" s="631" t="s">
        <v>61</v>
      </c>
      <c r="M13" s="631" t="s">
        <v>50</v>
      </c>
      <c r="N13" s="632" t="s">
        <v>50</v>
      </c>
      <c r="O13" s="207" t="s">
        <v>52</v>
      </c>
      <c r="P13" s="206" t="s">
        <v>50</v>
      </c>
      <c r="Q13" s="206" t="s">
        <v>56</v>
      </c>
      <c r="R13" s="206" t="s">
        <v>56</v>
      </c>
      <c r="S13" s="206" t="s">
        <v>58</v>
      </c>
      <c r="T13" s="205" t="s">
        <v>58</v>
      </c>
      <c r="U13" s="492" t="s">
        <v>70</v>
      </c>
    </row>
    <row r="14" spans="1:30" ht="12" x14ac:dyDescent="0.2">
      <c r="A14" s="488" t="s">
        <v>71</v>
      </c>
      <c r="B14" s="633" t="s">
        <v>79</v>
      </c>
      <c r="C14" s="633" t="s">
        <v>75</v>
      </c>
      <c r="D14" s="633" t="s">
        <v>81</v>
      </c>
      <c r="E14" s="633" t="s">
        <v>82</v>
      </c>
      <c r="F14" s="633" t="s">
        <v>95</v>
      </c>
      <c r="G14" s="633" t="s">
        <v>88</v>
      </c>
      <c r="H14" s="633" t="s">
        <v>89</v>
      </c>
      <c r="I14" s="633" t="s">
        <v>98</v>
      </c>
      <c r="J14" s="633" t="s">
        <v>90</v>
      </c>
      <c r="K14" s="633" t="s">
        <v>91</v>
      </c>
      <c r="L14" s="633" t="s">
        <v>92</v>
      </c>
      <c r="M14" s="633" t="s">
        <v>72</v>
      </c>
      <c r="N14" s="634" t="s">
        <v>73</v>
      </c>
      <c r="O14" s="230" t="s">
        <v>101</v>
      </c>
      <c r="P14" s="608" t="s">
        <v>206</v>
      </c>
      <c r="Q14" s="608" t="s">
        <v>103</v>
      </c>
      <c r="R14" s="608" t="s">
        <v>104</v>
      </c>
      <c r="S14" s="608" t="s">
        <v>207</v>
      </c>
      <c r="T14" s="636" t="s">
        <v>208</v>
      </c>
      <c r="U14" s="497" t="s">
        <v>113</v>
      </c>
    </row>
    <row r="15" spans="1:30" ht="12" x14ac:dyDescent="0.2">
      <c r="A15" s="488" t="s">
        <v>114</v>
      </c>
      <c r="B15" s="608">
        <v>8</v>
      </c>
      <c r="C15" s="608">
        <v>4</v>
      </c>
      <c r="D15" s="608">
        <v>10</v>
      </c>
      <c r="E15" s="608">
        <v>11</v>
      </c>
      <c r="F15" s="608">
        <v>24</v>
      </c>
      <c r="G15" s="608">
        <v>17</v>
      </c>
      <c r="H15" s="633">
        <v>18</v>
      </c>
      <c r="I15" s="633">
        <v>27</v>
      </c>
      <c r="J15" s="633">
        <v>19</v>
      </c>
      <c r="K15" s="633">
        <v>20</v>
      </c>
      <c r="L15" s="633">
        <v>21</v>
      </c>
      <c r="M15" s="633">
        <v>1</v>
      </c>
      <c r="N15" s="634">
        <v>2</v>
      </c>
      <c r="O15" s="230">
        <v>28</v>
      </c>
      <c r="P15" s="608">
        <v>29</v>
      </c>
      <c r="Q15" s="608">
        <v>30</v>
      </c>
      <c r="R15" s="608">
        <v>31</v>
      </c>
      <c r="S15" s="608">
        <v>32</v>
      </c>
      <c r="T15" s="636">
        <v>33</v>
      </c>
      <c r="U15" s="497">
        <v>30</v>
      </c>
    </row>
    <row r="16" spans="1:30" ht="12" x14ac:dyDescent="0.2">
      <c r="A16" s="488" t="s">
        <v>115</v>
      </c>
      <c r="B16" s="639"/>
      <c r="C16" s="764" t="s">
        <v>116</v>
      </c>
      <c r="D16" s="765"/>
      <c r="E16" s="640"/>
      <c r="F16" s="640"/>
      <c r="G16" s="764" t="s">
        <v>209</v>
      </c>
      <c r="H16" s="765"/>
      <c r="I16" s="640"/>
      <c r="J16" s="764" t="s">
        <v>209</v>
      </c>
      <c r="K16" s="766"/>
      <c r="L16" s="765"/>
      <c r="M16" s="764" t="s">
        <v>116</v>
      </c>
      <c r="N16" s="766"/>
      <c r="O16" s="203"/>
      <c r="P16" s="641"/>
      <c r="Q16" s="641"/>
      <c r="R16" s="641"/>
      <c r="S16" s="641"/>
      <c r="T16" s="642"/>
      <c r="U16" s="497" t="s">
        <v>118</v>
      </c>
      <c r="V16" s="276"/>
    </row>
    <row r="17" spans="1:28" ht="12.75" x14ac:dyDescent="0.2">
      <c r="A17" s="51" t="s">
        <v>119</v>
      </c>
      <c r="B17" s="643"/>
      <c r="C17" s="643"/>
      <c r="D17" s="643"/>
      <c r="E17" s="643"/>
      <c r="F17" s="643"/>
      <c r="G17" s="643"/>
      <c r="H17" s="643"/>
      <c r="I17" s="643"/>
      <c r="J17" s="643"/>
      <c r="K17" s="643"/>
      <c r="L17" s="643"/>
      <c r="M17" s="643"/>
      <c r="N17" s="643"/>
      <c r="O17" s="202"/>
      <c r="P17" s="643"/>
      <c r="Q17" s="643"/>
      <c r="R17" s="643"/>
      <c r="S17" s="643"/>
      <c r="T17" s="644"/>
      <c r="U17" s="645"/>
      <c r="V17" s="185"/>
      <c r="W17" s="11"/>
      <c r="X17" s="11"/>
      <c r="Y17" s="11"/>
      <c r="Z17" s="185"/>
      <c r="AA17" s="190"/>
      <c r="AB17" s="65"/>
    </row>
    <row r="18" spans="1:28" ht="12" x14ac:dyDescent="0.2">
      <c r="A18" s="501" t="s">
        <v>120</v>
      </c>
      <c r="B18" s="617">
        <f t="shared" ref="B18:T18" si="0">MIN(B77,80)</f>
        <v>20</v>
      </c>
      <c r="C18" s="617">
        <f t="shared" si="0"/>
        <v>5</v>
      </c>
      <c r="D18" s="617">
        <f t="shared" si="0"/>
        <v>60</v>
      </c>
      <c r="E18" s="617">
        <f t="shared" si="0"/>
        <v>70</v>
      </c>
      <c r="F18" s="617">
        <f t="shared" si="0"/>
        <v>80</v>
      </c>
      <c r="G18" s="617">
        <f t="shared" si="0"/>
        <v>80</v>
      </c>
      <c r="H18" s="617">
        <f t="shared" si="0"/>
        <v>80</v>
      </c>
      <c r="I18" s="617">
        <f t="shared" si="0"/>
        <v>80</v>
      </c>
      <c r="J18" s="617">
        <f t="shared" si="0"/>
        <v>80</v>
      </c>
      <c r="K18" s="617">
        <f t="shared" si="0"/>
        <v>80</v>
      </c>
      <c r="L18" s="617">
        <f t="shared" si="0"/>
        <v>80</v>
      </c>
      <c r="M18" s="617">
        <f t="shared" si="0"/>
        <v>5</v>
      </c>
      <c r="N18" s="618">
        <f t="shared" si="0"/>
        <v>5</v>
      </c>
      <c r="O18" s="195">
        <f t="shared" si="0"/>
        <v>20</v>
      </c>
      <c r="P18" s="617">
        <f t="shared" si="0"/>
        <v>5</v>
      </c>
      <c r="Q18" s="617">
        <f t="shared" si="0"/>
        <v>60</v>
      </c>
      <c r="R18" s="617">
        <f t="shared" si="0"/>
        <v>70</v>
      </c>
      <c r="S18" s="617">
        <f t="shared" si="0"/>
        <v>80</v>
      </c>
      <c r="T18" s="646">
        <f t="shared" si="0"/>
        <v>80</v>
      </c>
      <c r="U18" s="647">
        <v>18</v>
      </c>
      <c r="V18" s="185"/>
      <c r="W18" s="11"/>
      <c r="X18" s="11"/>
      <c r="Y18" s="11"/>
      <c r="Z18" s="185"/>
      <c r="AA18" s="190"/>
      <c r="AB18" s="65"/>
    </row>
    <row r="19" spans="1:28" ht="12" x14ac:dyDescent="0.2">
      <c r="A19" s="507" t="s">
        <v>121</v>
      </c>
      <c r="B19" s="648">
        <v>0.55000000000000004</v>
      </c>
      <c r="C19" s="648">
        <v>0.4</v>
      </c>
      <c r="D19" s="648">
        <v>0.7</v>
      </c>
      <c r="E19" s="648">
        <v>0.7</v>
      </c>
      <c r="F19" s="648">
        <v>0.6</v>
      </c>
      <c r="G19" s="648">
        <v>0.8</v>
      </c>
      <c r="H19" s="648">
        <v>0.8</v>
      </c>
      <c r="I19" s="648">
        <v>0.6</v>
      </c>
      <c r="J19" s="648">
        <v>0.8</v>
      </c>
      <c r="K19" s="648">
        <v>0.8</v>
      </c>
      <c r="L19" s="648">
        <v>0.8</v>
      </c>
      <c r="M19" s="648">
        <v>0.4</v>
      </c>
      <c r="N19" s="649">
        <v>0.4</v>
      </c>
      <c r="O19" s="229">
        <v>0.55000000000000004</v>
      </c>
      <c r="P19" s="648">
        <v>0.4</v>
      </c>
      <c r="Q19" s="648">
        <v>0.7</v>
      </c>
      <c r="R19" s="648">
        <v>0.7</v>
      </c>
      <c r="S19" s="648">
        <v>0.6</v>
      </c>
      <c r="T19" s="650">
        <v>0.6</v>
      </c>
      <c r="U19" s="651">
        <v>0.4</v>
      </c>
      <c r="V19" s="276"/>
    </row>
    <row r="20" spans="1:28" ht="12" x14ac:dyDescent="0.2">
      <c r="A20" s="512" t="s">
        <v>122</v>
      </c>
      <c r="B20" s="649"/>
      <c r="C20" s="652"/>
      <c r="D20" s="652"/>
      <c r="E20" s="652"/>
      <c r="F20" s="652"/>
      <c r="G20" s="652"/>
      <c r="H20" s="652"/>
      <c r="I20" s="652"/>
      <c r="J20" s="652"/>
      <c r="K20" s="652"/>
      <c r="L20" s="652"/>
      <c r="M20" s="652"/>
      <c r="N20" s="653"/>
      <c r="O20" s="201"/>
      <c r="P20" s="652"/>
      <c r="Q20" s="652"/>
      <c r="R20" s="652"/>
      <c r="S20" s="652"/>
      <c r="T20" s="653"/>
      <c r="U20" s="651"/>
      <c r="V20" s="276"/>
    </row>
    <row r="21" spans="1:28" ht="12" x14ac:dyDescent="0.2">
      <c r="A21" s="515" t="s">
        <v>123</v>
      </c>
      <c r="B21" s="516">
        <f t="shared" ref="B21:N21" si="1">B19*$B$8</f>
        <v>22.605</v>
      </c>
      <c r="C21" s="516">
        <f t="shared" si="1"/>
        <v>16.439999999999998</v>
      </c>
      <c r="D21" s="516">
        <f t="shared" si="1"/>
        <v>28.769999999999992</v>
      </c>
      <c r="E21" s="516">
        <f t="shared" si="1"/>
        <v>28.769999999999992</v>
      </c>
      <c r="F21" s="516">
        <f t="shared" si="1"/>
        <v>24.659999999999997</v>
      </c>
      <c r="G21" s="516">
        <f t="shared" si="1"/>
        <v>32.879999999999995</v>
      </c>
      <c r="H21" s="516">
        <f t="shared" si="1"/>
        <v>32.879999999999995</v>
      </c>
      <c r="I21" s="516">
        <f t="shared" si="1"/>
        <v>24.659999999999997</v>
      </c>
      <c r="J21" s="516">
        <f t="shared" si="1"/>
        <v>32.879999999999995</v>
      </c>
      <c r="K21" s="516">
        <f t="shared" si="1"/>
        <v>32.879999999999995</v>
      </c>
      <c r="L21" s="516">
        <f t="shared" si="1"/>
        <v>32.879999999999995</v>
      </c>
      <c r="M21" s="516">
        <f t="shared" si="1"/>
        <v>16.439999999999998</v>
      </c>
      <c r="N21" s="517">
        <f t="shared" si="1"/>
        <v>16.439999999999998</v>
      </c>
      <c r="O21" s="200">
        <f t="shared" ref="O21:U21" si="2">O19*$B$8</f>
        <v>22.605</v>
      </c>
      <c r="P21" s="516">
        <f t="shared" si="2"/>
        <v>16.439999999999998</v>
      </c>
      <c r="Q21" s="516">
        <f t="shared" si="2"/>
        <v>28.769999999999992</v>
      </c>
      <c r="R21" s="516">
        <f t="shared" si="2"/>
        <v>28.769999999999992</v>
      </c>
      <c r="S21" s="516">
        <f t="shared" si="2"/>
        <v>24.659999999999997</v>
      </c>
      <c r="T21" s="518">
        <f t="shared" si="2"/>
        <v>24.659999999999997</v>
      </c>
      <c r="U21" s="519">
        <f t="shared" si="2"/>
        <v>16.439999999999998</v>
      </c>
      <c r="V21" s="276"/>
    </row>
    <row r="22" spans="1:28" ht="12" x14ac:dyDescent="0.2">
      <c r="A22" s="515" t="s">
        <v>124</v>
      </c>
      <c r="B22" s="520">
        <f t="shared" ref="B22:N22" si="3">B21*$B$5</f>
        <v>45.21</v>
      </c>
      <c r="C22" s="520">
        <f t="shared" si="3"/>
        <v>32.879999999999995</v>
      </c>
      <c r="D22" s="520">
        <f t="shared" si="3"/>
        <v>57.539999999999985</v>
      </c>
      <c r="E22" s="520">
        <f t="shared" si="3"/>
        <v>57.539999999999985</v>
      </c>
      <c r="F22" s="520">
        <f t="shared" si="3"/>
        <v>49.319999999999993</v>
      </c>
      <c r="G22" s="520">
        <f t="shared" si="3"/>
        <v>65.759999999999991</v>
      </c>
      <c r="H22" s="520">
        <f t="shared" si="3"/>
        <v>65.759999999999991</v>
      </c>
      <c r="I22" s="520">
        <f t="shared" si="3"/>
        <v>49.319999999999993</v>
      </c>
      <c r="J22" s="520">
        <f t="shared" si="3"/>
        <v>65.759999999999991</v>
      </c>
      <c r="K22" s="520">
        <f t="shared" si="3"/>
        <v>65.759999999999991</v>
      </c>
      <c r="L22" s="520">
        <f t="shared" si="3"/>
        <v>65.759999999999991</v>
      </c>
      <c r="M22" s="520">
        <f t="shared" si="3"/>
        <v>32.879999999999995</v>
      </c>
      <c r="N22" s="521">
        <f t="shared" si="3"/>
        <v>32.879999999999995</v>
      </c>
      <c r="O22" s="198">
        <f t="shared" ref="O22:U22" si="4">O21*$B$5</f>
        <v>45.21</v>
      </c>
      <c r="P22" s="520">
        <f t="shared" si="4"/>
        <v>32.879999999999995</v>
      </c>
      <c r="Q22" s="520">
        <f t="shared" si="4"/>
        <v>57.539999999999985</v>
      </c>
      <c r="R22" s="520">
        <f t="shared" si="4"/>
        <v>57.539999999999985</v>
      </c>
      <c r="S22" s="520">
        <f t="shared" si="4"/>
        <v>49.319999999999993</v>
      </c>
      <c r="T22" s="522">
        <f t="shared" si="4"/>
        <v>49.319999999999993</v>
      </c>
      <c r="U22" s="523">
        <f t="shared" si="4"/>
        <v>32.879999999999995</v>
      </c>
      <c r="V22" s="276"/>
    </row>
    <row r="23" spans="1:28" ht="12" x14ac:dyDescent="0.2">
      <c r="A23" s="515" t="s">
        <v>125</v>
      </c>
      <c r="B23" s="524">
        <f t="shared" ref="B23:N23" si="5">$B$9</f>
        <v>3</v>
      </c>
      <c r="C23" s="524">
        <f t="shared" si="5"/>
        <v>3</v>
      </c>
      <c r="D23" s="524">
        <f t="shared" si="5"/>
        <v>3</v>
      </c>
      <c r="E23" s="524">
        <f t="shared" si="5"/>
        <v>3</v>
      </c>
      <c r="F23" s="524">
        <f t="shared" si="5"/>
        <v>3</v>
      </c>
      <c r="G23" s="524">
        <f t="shared" si="5"/>
        <v>3</v>
      </c>
      <c r="H23" s="524">
        <f t="shared" si="5"/>
        <v>3</v>
      </c>
      <c r="I23" s="524">
        <f t="shared" si="5"/>
        <v>3</v>
      </c>
      <c r="J23" s="524">
        <f t="shared" si="5"/>
        <v>3</v>
      </c>
      <c r="K23" s="524">
        <f t="shared" si="5"/>
        <v>3</v>
      </c>
      <c r="L23" s="524">
        <f t="shared" si="5"/>
        <v>3</v>
      </c>
      <c r="M23" s="524">
        <f t="shared" si="5"/>
        <v>3</v>
      </c>
      <c r="N23" s="525">
        <f t="shared" si="5"/>
        <v>3</v>
      </c>
      <c r="O23" s="199">
        <f t="shared" ref="O23:U23" si="6">$B$9</f>
        <v>3</v>
      </c>
      <c r="P23" s="524">
        <f t="shared" si="6"/>
        <v>3</v>
      </c>
      <c r="Q23" s="524">
        <f t="shared" si="6"/>
        <v>3</v>
      </c>
      <c r="R23" s="524">
        <f t="shared" si="6"/>
        <v>3</v>
      </c>
      <c r="S23" s="524">
        <f t="shared" si="6"/>
        <v>3</v>
      </c>
      <c r="T23" s="526">
        <f t="shared" si="6"/>
        <v>3</v>
      </c>
      <c r="U23" s="527">
        <f t="shared" si="6"/>
        <v>3</v>
      </c>
      <c r="V23" s="276"/>
    </row>
    <row r="24" spans="1:28" ht="12" x14ac:dyDescent="0.2">
      <c r="A24" s="515" t="s">
        <v>126</v>
      </c>
      <c r="B24" s="524">
        <f t="shared" ref="B24:U24" si="7">IF(ISBLANK(B102),0,$B$10)</f>
        <v>0</v>
      </c>
      <c r="C24" s="524">
        <f t="shared" si="7"/>
        <v>0</v>
      </c>
      <c r="D24" s="524">
        <f t="shared" si="7"/>
        <v>0</v>
      </c>
      <c r="E24" s="524">
        <f t="shared" si="7"/>
        <v>0</v>
      </c>
      <c r="F24" s="524">
        <f t="shared" si="7"/>
        <v>0</v>
      </c>
      <c r="G24" s="524">
        <f t="shared" si="7"/>
        <v>44.28</v>
      </c>
      <c r="H24" s="524">
        <f t="shared" si="7"/>
        <v>44.28</v>
      </c>
      <c r="I24" s="524">
        <f t="shared" si="7"/>
        <v>0</v>
      </c>
      <c r="J24" s="524">
        <f t="shared" si="7"/>
        <v>44.28</v>
      </c>
      <c r="K24" s="524">
        <f t="shared" si="7"/>
        <v>44.28</v>
      </c>
      <c r="L24" s="524">
        <f t="shared" si="7"/>
        <v>44.28</v>
      </c>
      <c r="M24" s="524">
        <f t="shared" si="7"/>
        <v>0</v>
      </c>
      <c r="N24" s="525">
        <f t="shared" si="7"/>
        <v>0</v>
      </c>
      <c r="O24" s="199">
        <f t="shared" si="7"/>
        <v>44.28</v>
      </c>
      <c r="P24" s="524">
        <f t="shared" si="7"/>
        <v>44.28</v>
      </c>
      <c r="Q24" s="524">
        <f t="shared" si="7"/>
        <v>44.28</v>
      </c>
      <c r="R24" s="524">
        <f t="shared" si="7"/>
        <v>44.28</v>
      </c>
      <c r="S24" s="524">
        <f t="shared" si="7"/>
        <v>44.28</v>
      </c>
      <c r="T24" s="526">
        <f t="shared" si="7"/>
        <v>44.28</v>
      </c>
      <c r="U24" s="527">
        <f t="shared" si="7"/>
        <v>0</v>
      </c>
      <c r="V24" s="276"/>
    </row>
    <row r="25" spans="1:28" ht="12" x14ac:dyDescent="0.2">
      <c r="A25" s="515" t="s">
        <v>127</v>
      </c>
      <c r="B25" s="520">
        <f t="shared" ref="B25:N25" si="8">B21*$B$5+SUM(B23:B24)</f>
        <v>48.21</v>
      </c>
      <c r="C25" s="520">
        <f t="shared" si="8"/>
        <v>35.879999999999995</v>
      </c>
      <c r="D25" s="520">
        <f t="shared" si="8"/>
        <v>60.539999999999985</v>
      </c>
      <c r="E25" s="520">
        <f t="shared" si="8"/>
        <v>60.539999999999985</v>
      </c>
      <c r="F25" s="520">
        <f t="shared" si="8"/>
        <v>52.319999999999993</v>
      </c>
      <c r="G25" s="520">
        <f t="shared" si="8"/>
        <v>113.03999999999999</v>
      </c>
      <c r="H25" s="520">
        <f t="shared" si="8"/>
        <v>113.03999999999999</v>
      </c>
      <c r="I25" s="520">
        <f t="shared" si="8"/>
        <v>52.319999999999993</v>
      </c>
      <c r="J25" s="520">
        <f t="shared" si="8"/>
        <v>113.03999999999999</v>
      </c>
      <c r="K25" s="520">
        <f t="shared" si="8"/>
        <v>113.03999999999999</v>
      </c>
      <c r="L25" s="520">
        <f t="shared" si="8"/>
        <v>113.03999999999999</v>
      </c>
      <c r="M25" s="520">
        <f t="shared" si="8"/>
        <v>35.879999999999995</v>
      </c>
      <c r="N25" s="521">
        <f t="shared" si="8"/>
        <v>35.879999999999995</v>
      </c>
      <c r="O25" s="198">
        <f t="shared" ref="O25:U25" si="9">O21*$B$5+SUM(O23:O24)</f>
        <v>92.490000000000009</v>
      </c>
      <c r="P25" s="520">
        <f t="shared" si="9"/>
        <v>80.16</v>
      </c>
      <c r="Q25" s="520">
        <f t="shared" si="9"/>
        <v>104.82</v>
      </c>
      <c r="R25" s="520">
        <f t="shared" si="9"/>
        <v>104.82</v>
      </c>
      <c r="S25" s="520">
        <f t="shared" si="9"/>
        <v>96.6</v>
      </c>
      <c r="T25" s="522">
        <f t="shared" si="9"/>
        <v>96.6</v>
      </c>
      <c r="U25" s="523">
        <f t="shared" si="9"/>
        <v>35.879999999999995</v>
      </c>
      <c r="V25" s="276"/>
    </row>
    <row r="26" spans="1:28" ht="12" x14ac:dyDescent="0.2">
      <c r="A26" s="18" t="s">
        <v>128</v>
      </c>
      <c r="B26" s="19">
        <f t="shared" ref="B26:U26" si="10">-IF(ISBLANK(B101),0,MIN(B$22*$H$10,B$22-$B$7*$H$9))</f>
        <v>-12.330000000000005</v>
      </c>
      <c r="C26" s="19">
        <f t="shared" si="10"/>
        <v>0</v>
      </c>
      <c r="D26" s="19">
        <f t="shared" si="10"/>
        <v>-16.513979999999993</v>
      </c>
      <c r="E26" s="19">
        <f t="shared" si="10"/>
        <v>-16.513979999999993</v>
      </c>
      <c r="F26" s="19">
        <f t="shared" si="10"/>
        <v>-14.154839999999997</v>
      </c>
      <c r="G26" s="19">
        <f t="shared" si="10"/>
        <v>0</v>
      </c>
      <c r="H26" s="19">
        <f t="shared" si="10"/>
        <v>0</v>
      </c>
      <c r="I26" s="19">
        <f t="shared" si="10"/>
        <v>-14.154839999999997</v>
      </c>
      <c r="J26" s="19">
        <f t="shared" si="10"/>
        <v>0</v>
      </c>
      <c r="K26" s="19">
        <f t="shared" si="10"/>
        <v>0</v>
      </c>
      <c r="L26" s="19">
        <f t="shared" si="10"/>
        <v>0</v>
      </c>
      <c r="M26" s="19">
        <f t="shared" si="10"/>
        <v>0</v>
      </c>
      <c r="N26" s="84">
        <f t="shared" si="10"/>
        <v>0</v>
      </c>
      <c r="O26" s="198">
        <f t="shared" si="10"/>
        <v>0</v>
      </c>
      <c r="P26" s="520">
        <f t="shared" si="10"/>
        <v>0</v>
      </c>
      <c r="Q26" s="520">
        <f t="shared" si="10"/>
        <v>0</v>
      </c>
      <c r="R26" s="520">
        <f t="shared" si="10"/>
        <v>0</v>
      </c>
      <c r="S26" s="520">
        <f t="shared" si="10"/>
        <v>0</v>
      </c>
      <c r="T26" s="522">
        <f t="shared" si="10"/>
        <v>0</v>
      </c>
      <c r="U26" s="523">
        <f t="shared" si="10"/>
        <v>0</v>
      </c>
      <c r="V26" s="276"/>
    </row>
    <row r="27" spans="1:28" ht="12" x14ac:dyDescent="0.2">
      <c r="A27" s="515" t="s">
        <v>129</v>
      </c>
      <c r="B27" s="19">
        <f t="shared" ref="B27:N27" si="11">SUM(B25:B26)</f>
        <v>35.879999999999995</v>
      </c>
      <c r="C27" s="19">
        <f t="shared" si="11"/>
        <v>35.879999999999995</v>
      </c>
      <c r="D27" s="19">
        <f t="shared" si="11"/>
        <v>44.026019999999988</v>
      </c>
      <c r="E27" s="19">
        <f t="shared" si="11"/>
        <v>44.026019999999988</v>
      </c>
      <c r="F27" s="19">
        <f t="shared" si="11"/>
        <v>38.16516</v>
      </c>
      <c r="G27" s="19">
        <f t="shared" si="11"/>
        <v>113.03999999999999</v>
      </c>
      <c r="H27" s="19">
        <f t="shared" si="11"/>
        <v>113.03999999999999</v>
      </c>
      <c r="I27" s="19">
        <f t="shared" si="11"/>
        <v>38.16516</v>
      </c>
      <c r="J27" s="19">
        <f t="shared" si="11"/>
        <v>113.03999999999999</v>
      </c>
      <c r="K27" s="19">
        <f t="shared" si="11"/>
        <v>113.03999999999999</v>
      </c>
      <c r="L27" s="19">
        <f t="shared" si="11"/>
        <v>113.03999999999999</v>
      </c>
      <c r="M27" s="19">
        <f t="shared" si="11"/>
        <v>35.879999999999995</v>
      </c>
      <c r="N27" s="84">
        <f t="shared" si="11"/>
        <v>35.879999999999995</v>
      </c>
      <c r="O27" s="198">
        <f t="shared" ref="O27:U27" si="12">SUM(O25:O26)</f>
        <v>92.490000000000009</v>
      </c>
      <c r="P27" s="520">
        <f t="shared" si="12"/>
        <v>80.16</v>
      </c>
      <c r="Q27" s="520">
        <f t="shared" si="12"/>
        <v>104.82</v>
      </c>
      <c r="R27" s="520">
        <f t="shared" si="12"/>
        <v>104.82</v>
      </c>
      <c r="S27" s="520">
        <f t="shared" si="12"/>
        <v>96.6</v>
      </c>
      <c r="T27" s="522">
        <f t="shared" si="12"/>
        <v>96.6</v>
      </c>
      <c r="U27" s="523">
        <f t="shared" si="12"/>
        <v>35.879999999999995</v>
      </c>
      <c r="V27" s="276"/>
    </row>
    <row r="28" spans="1:28" ht="12" x14ac:dyDescent="0.2">
      <c r="A28" s="18" t="s">
        <v>130</v>
      </c>
      <c r="B28" s="654">
        <f>AVERAGE(M22:N22,B22)</f>
        <v>36.99</v>
      </c>
      <c r="C28" s="654">
        <f>AVERAGE(N22,B22:C22)</f>
        <v>36.99</v>
      </c>
      <c r="D28" s="654">
        <f t="shared" ref="D28:N28" si="13">AVERAGE(B22:D22)</f>
        <v>45.21</v>
      </c>
      <c r="E28" s="654">
        <f t="shared" si="13"/>
        <v>49.319999999999993</v>
      </c>
      <c r="F28" s="654">
        <f t="shared" si="13"/>
        <v>54.79999999999999</v>
      </c>
      <c r="G28" s="654">
        <f t="shared" si="13"/>
        <v>57.539999999999992</v>
      </c>
      <c r="H28" s="654">
        <f t="shared" si="13"/>
        <v>60.279999999999994</v>
      </c>
      <c r="I28" s="654">
        <f t="shared" si="13"/>
        <v>60.279999999999994</v>
      </c>
      <c r="J28" s="654">
        <f t="shared" si="13"/>
        <v>60.279999999999994</v>
      </c>
      <c r="K28" s="654">
        <f t="shared" si="13"/>
        <v>60.279999999999994</v>
      </c>
      <c r="L28" s="654">
        <f t="shared" si="13"/>
        <v>65.759999999999991</v>
      </c>
      <c r="M28" s="654">
        <f t="shared" si="13"/>
        <v>54.79999999999999</v>
      </c>
      <c r="N28" s="655">
        <f t="shared" si="13"/>
        <v>43.839999999999996</v>
      </c>
      <c r="O28" s="198">
        <f>B28</f>
        <v>36.99</v>
      </c>
      <c r="P28" s="520">
        <f>C28</f>
        <v>36.99</v>
      </c>
      <c r="Q28" s="520">
        <f>D28</f>
        <v>45.21</v>
      </c>
      <c r="R28" s="520">
        <f>E28</f>
        <v>49.319999999999993</v>
      </c>
      <c r="S28" s="520">
        <f>F28</f>
        <v>54.79999999999999</v>
      </c>
      <c r="T28" s="522">
        <f>I28</f>
        <v>60.279999999999994</v>
      </c>
      <c r="U28" s="523">
        <f>U27</f>
        <v>35.879999999999995</v>
      </c>
      <c r="V28" s="276"/>
    </row>
    <row r="29" spans="1:28" ht="12" x14ac:dyDescent="0.2">
      <c r="A29" s="245" t="s">
        <v>132</v>
      </c>
      <c r="B29" s="656"/>
      <c r="C29" s="656"/>
      <c r="D29" s="656"/>
      <c r="E29" s="656"/>
      <c r="F29" s="656"/>
      <c r="G29" s="656"/>
      <c r="H29" s="656"/>
      <c r="I29" s="656"/>
      <c r="J29" s="656"/>
      <c r="K29" s="656"/>
      <c r="L29" s="656"/>
      <c r="M29" s="656"/>
      <c r="N29" s="656"/>
      <c r="O29" s="106"/>
      <c r="P29" s="669"/>
      <c r="Q29" s="669"/>
      <c r="R29" s="669"/>
      <c r="S29" s="669"/>
      <c r="T29" s="670"/>
      <c r="U29" s="523"/>
      <c r="V29" s="276"/>
    </row>
    <row r="30" spans="1:28" ht="12" x14ac:dyDescent="0.2">
      <c r="A30" s="18" t="s">
        <v>133</v>
      </c>
      <c r="B30" s="654">
        <f t="shared" ref="B30:U30" si="14">IF(ISBLANK(B101),0,$B$11)</f>
        <v>10.8</v>
      </c>
      <c r="C30" s="654">
        <f t="shared" si="14"/>
        <v>10.8</v>
      </c>
      <c r="D30" s="654">
        <f t="shared" si="14"/>
        <v>10.8</v>
      </c>
      <c r="E30" s="654">
        <f t="shared" si="14"/>
        <v>10.8</v>
      </c>
      <c r="F30" s="654">
        <f t="shared" si="14"/>
        <v>10.8</v>
      </c>
      <c r="G30" s="654">
        <f t="shared" si="14"/>
        <v>0</v>
      </c>
      <c r="H30" s="654">
        <f t="shared" si="14"/>
        <v>0</v>
      </c>
      <c r="I30" s="654">
        <f t="shared" si="14"/>
        <v>10.8</v>
      </c>
      <c r="J30" s="654">
        <f t="shared" si="14"/>
        <v>0</v>
      </c>
      <c r="K30" s="654">
        <f t="shared" si="14"/>
        <v>0</v>
      </c>
      <c r="L30" s="654">
        <f t="shared" si="14"/>
        <v>0</v>
      </c>
      <c r="M30" s="654">
        <f t="shared" si="14"/>
        <v>10.8</v>
      </c>
      <c r="N30" s="657">
        <f t="shared" si="14"/>
        <v>10.8</v>
      </c>
      <c r="O30" s="198">
        <f t="shared" si="14"/>
        <v>0</v>
      </c>
      <c r="P30" s="520">
        <f t="shared" si="14"/>
        <v>0</v>
      </c>
      <c r="Q30" s="520">
        <f t="shared" si="14"/>
        <v>0</v>
      </c>
      <c r="R30" s="520">
        <f t="shared" si="14"/>
        <v>0</v>
      </c>
      <c r="S30" s="520">
        <f t="shared" si="14"/>
        <v>0</v>
      </c>
      <c r="T30" s="522">
        <f t="shared" si="14"/>
        <v>0</v>
      </c>
      <c r="U30" s="523">
        <f t="shared" si="14"/>
        <v>10.8</v>
      </c>
      <c r="V30" s="276"/>
    </row>
    <row r="31" spans="1:28" ht="12.75" x14ac:dyDescent="0.2">
      <c r="A31" s="528" t="s">
        <v>134</v>
      </c>
      <c r="B31" s="530"/>
      <c r="C31" s="530"/>
      <c r="D31" s="530"/>
      <c r="E31" s="530"/>
      <c r="F31" s="530"/>
      <c r="G31" s="530"/>
      <c r="H31" s="530"/>
      <c r="I31" s="530"/>
      <c r="J31" s="530"/>
      <c r="K31" s="530"/>
      <c r="L31" s="530"/>
      <c r="M31" s="530"/>
      <c r="N31" s="530"/>
      <c r="O31" s="228"/>
      <c r="P31" s="671"/>
      <c r="Q31" s="671"/>
      <c r="R31" s="671"/>
      <c r="S31" s="671"/>
      <c r="T31" s="672"/>
      <c r="U31" s="531"/>
      <c r="V31" s="276"/>
    </row>
    <row r="32" spans="1:28" ht="12" x14ac:dyDescent="0.2">
      <c r="A32" s="488" t="s">
        <v>135</v>
      </c>
      <c r="B32" s="508">
        <v>0.8</v>
      </c>
      <c r="C32" s="508">
        <v>0.7</v>
      </c>
      <c r="D32" s="508">
        <v>0.9</v>
      </c>
      <c r="E32" s="508">
        <v>0.9</v>
      </c>
      <c r="F32" s="508">
        <v>1</v>
      </c>
      <c r="G32" s="508">
        <v>1</v>
      </c>
      <c r="H32" s="508">
        <v>1</v>
      </c>
      <c r="I32" s="508">
        <v>1</v>
      </c>
      <c r="J32" s="508">
        <v>1</v>
      </c>
      <c r="K32" s="508">
        <v>1</v>
      </c>
      <c r="L32" s="508">
        <v>1</v>
      </c>
      <c r="M32" s="508">
        <v>0.7</v>
      </c>
      <c r="N32" s="509">
        <v>0.7</v>
      </c>
      <c r="O32" s="92">
        <v>0.8</v>
      </c>
      <c r="P32" s="508">
        <v>0.7</v>
      </c>
      <c r="Q32" s="508">
        <v>0.9</v>
      </c>
      <c r="R32" s="508">
        <v>0.9</v>
      </c>
      <c r="S32" s="508">
        <v>1</v>
      </c>
      <c r="T32" s="510">
        <v>1</v>
      </c>
      <c r="U32" s="511">
        <v>0.7</v>
      </c>
      <c r="V32" s="276"/>
    </row>
    <row r="33" spans="1:50" ht="12" x14ac:dyDescent="0.2">
      <c r="A33" s="488" t="s">
        <v>136</v>
      </c>
      <c r="B33" s="508">
        <f>B32*0.8</f>
        <v>0.64000000000000012</v>
      </c>
      <c r="C33" s="508">
        <f t="shared" ref="C33:U33" si="15">C32*0.8</f>
        <v>0.55999999999999994</v>
      </c>
      <c r="D33" s="508">
        <f t="shared" si="15"/>
        <v>0.72000000000000008</v>
      </c>
      <c r="E33" s="508">
        <f t="shared" si="15"/>
        <v>0.72000000000000008</v>
      </c>
      <c r="F33" s="508">
        <f t="shared" si="15"/>
        <v>0.8</v>
      </c>
      <c r="G33" s="508">
        <f t="shared" si="15"/>
        <v>0.8</v>
      </c>
      <c r="H33" s="508">
        <f t="shared" si="15"/>
        <v>0.8</v>
      </c>
      <c r="I33" s="508">
        <f t="shared" si="15"/>
        <v>0.8</v>
      </c>
      <c r="J33" s="508">
        <f t="shared" si="15"/>
        <v>0.8</v>
      </c>
      <c r="K33" s="508">
        <f t="shared" si="15"/>
        <v>0.8</v>
      </c>
      <c r="L33" s="508">
        <f t="shared" si="15"/>
        <v>0.8</v>
      </c>
      <c r="M33" s="508">
        <f t="shared" si="15"/>
        <v>0.55999999999999994</v>
      </c>
      <c r="N33" s="509">
        <f t="shared" si="15"/>
        <v>0.55999999999999994</v>
      </c>
      <c r="O33" s="92">
        <f t="shared" si="15"/>
        <v>0.64000000000000012</v>
      </c>
      <c r="P33" s="508">
        <f t="shared" si="15"/>
        <v>0.55999999999999994</v>
      </c>
      <c r="Q33" s="508">
        <f t="shared" si="15"/>
        <v>0.72000000000000008</v>
      </c>
      <c r="R33" s="508">
        <f t="shared" si="15"/>
        <v>0.72000000000000008</v>
      </c>
      <c r="S33" s="508">
        <f t="shared" si="15"/>
        <v>0.8</v>
      </c>
      <c r="T33" s="510">
        <f t="shared" si="15"/>
        <v>0.8</v>
      </c>
      <c r="U33" s="511">
        <f t="shared" si="15"/>
        <v>0.55999999999999994</v>
      </c>
      <c r="V33" s="276"/>
    </row>
    <row r="34" spans="1:50" ht="12" x14ac:dyDescent="0.2">
      <c r="A34" s="488" t="s">
        <v>137</v>
      </c>
      <c r="B34" s="508">
        <f>((B36*$B$125)/$B$2)</f>
        <v>0.5430630299257212</v>
      </c>
      <c r="C34" s="508">
        <f t="shared" ref="C34:U34" si="16">((C36*$B$125)/$B$2)</f>
        <v>0.47518015118500612</v>
      </c>
      <c r="D34" s="508">
        <f t="shared" si="16"/>
        <v>0.61094590866643639</v>
      </c>
      <c r="E34" s="508">
        <f t="shared" si="16"/>
        <v>0.61094590866643639</v>
      </c>
      <c r="F34" s="508">
        <f t="shared" si="16"/>
        <v>0.67882878740715158</v>
      </c>
      <c r="G34" s="508">
        <f t="shared" si="16"/>
        <v>0.67882878740715158</v>
      </c>
      <c r="H34" s="508">
        <f t="shared" si="16"/>
        <v>0.67882878740715158</v>
      </c>
      <c r="I34" s="508">
        <f t="shared" si="16"/>
        <v>0.67882878740715158</v>
      </c>
      <c r="J34" s="508">
        <f t="shared" si="16"/>
        <v>0.67882878740715158</v>
      </c>
      <c r="K34" s="508">
        <f t="shared" si="16"/>
        <v>0.67882878740715158</v>
      </c>
      <c r="L34" s="508">
        <f t="shared" si="16"/>
        <v>0.67882878740715158</v>
      </c>
      <c r="M34" s="508">
        <f t="shared" si="16"/>
        <v>0.47518015118500612</v>
      </c>
      <c r="N34" s="509">
        <f t="shared" si="16"/>
        <v>0.47518015118500612</v>
      </c>
      <c r="O34" s="92">
        <f t="shared" si="16"/>
        <v>0.5430630299257212</v>
      </c>
      <c r="P34" s="508">
        <f t="shared" si="16"/>
        <v>0.47518015118500612</v>
      </c>
      <c r="Q34" s="508">
        <f t="shared" si="16"/>
        <v>0.61094590866643639</v>
      </c>
      <c r="R34" s="508">
        <f t="shared" si="16"/>
        <v>0.61094590866643639</v>
      </c>
      <c r="S34" s="508">
        <f t="shared" si="16"/>
        <v>0.67882878740715158</v>
      </c>
      <c r="T34" s="510">
        <f t="shared" si="16"/>
        <v>0.67882878740715158</v>
      </c>
      <c r="U34" s="511">
        <f t="shared" si="16"/>
        <v>0.47518015118500612</v>
      </c>
      <c r="V34" s="276"/>
    </row>
    <row r="35" spans="1:50" ht="12" x14ac:dyDescent="0.2">
      <c r="A35" s="616" t="s">
        <v>138</v>
      </c>
      <c r="B35" s="617">
        <f t="shared" ref="B35:U35" si="17">ROUND($B$2*B32,2)</f>
        <v>1.6</v>
      </c>
      <c r="C35" s="617">
        <f t="shared" si="17"/>
        <v>1.4</v>
      </c>
      <c r="D35" s="617">
        <f t="shared" si="17"/>
        <v>1.8</v>
      </c>
      <c r="E35" s="617">
        <f t="shared" si="17"/>
        <v>1.8</v>
      </c>
      <c r="F35" s="617">
        <f t="shared" si="17"/>
        <v>2</v>
      </c>
      <c r="G35" s="617">
        <f t="shared" si="17"/>
        <v>2</v>
      </c>
      <c r="H35" s="617">
        <f t="shared" si="17"/>
        <v>2</v>
      </c>
      <c r="I35" s="617">
        <f t="shared" si="17"/>
        <v>2</v>
      </c>
      <c r="J35" s="617">
        <f t="shared" si="17"/>
        <v>2</v>
      </c>
      <c r="K35" s="617">
        <f t="shared" si="17"/>
        <v>2</v>
      </c>
      <c r="L35" s="617">
        <f t="shared" si="17"/>
        <v>2</v>
      </c>
      <c r="M35" s="617">
        <f t="shared" si="17"/>
        <v>1.4</v>
      </c>
      <c r="N35" s="646">
        <f t="shared" si="17"/>
        <v>1.4</v>
      </c>
      <c r="O35" s="647">
        <f t="shared" si="17"/>
        <v>1.6</v>
      </c>
      <c r="P35" s="617">
        <f t="shared" si="17"/>
        <v>1.4</v>
      </c>
      <c r="Q35" s="617">
        <f t="shared" si="17"/>
        <v>1.8</v>
      </c>
      <c r="R35" s="617">
        <f t="shared" si="17"/>
        <v>1.8</v>
      </c>
      <c r="S35" s="617">
        <f t="shared" si="17"/>
        <v>2</v>
      </c>
      <c r="T35" s="646">
        <f t="shared" si="17"/>
        <v>2</v>
      </c>
      <c r="U35" s="647">
        <f t="shared" si="17"/>
        <v>1.4</v>
      </c>
      <c r="V35" s="10"/>
      <c r="W35" s="10"/>
    </row>
    <row r="36" spans="1:50" s="10" customFormat="1" ht="12" x14ac:dyDescent="0.2">
      <c r="A36" s="616" t="s">
        <v>139</v>
      </c>
      <c r="B36" s="619">
        <f t="shared" ref="B36:U36" si="18">ROUND($B$2*B33,2)</f>
        <v>1.28</v>
      </c>
      <c r="C36" s="619">
        <f t="shared" si="18"/>
        <v>1.1200000000000001</v>
      </c>
      <c r="D36" s="619">
        <f t="shared" si="18"/>
        <v>1.44</v>
      </c>
      <c r="E36" s="619">
        <f t="shared" si="18"/>
        <v>1.44</v>
      </c>
      <c r="F36" s="619">
        <f t="shared" si="18"/>
        <v>1.6</v>
      </c>
      <c r="G36" s="617">
        <f t="shared" si="18"/>
        <v>1.6</v>
      </c>
      <c r="H36" s="617">
        <f t="shared" si="18"/>
        <v>1.6</v>
      </c>
      <c r="I36" s="619">
        <f t="shared" si="18"/>
        <v>1.6</v>
      </c>
      <c r="J36" s="617">
        <f t="shared" si="18"/>
        <v>1.6</v>
      </c>
      <c r="K36" s="617">
        <f t="shared" si="18"/>
        <v>1.6</v>
      </c>
      <c r="L36" s="617">
        <f t="shared" si="18"/>
        <v>1.6</v>
      </c>
      <c r="M36" s="619">
        <f t="shared" si="18"/>
        <v>1.1200000000000001</v>
      </c>
      <c r="N36" s="620">
        <f t="shared" si="18"/>
        <v>1.1200000000000001</v>
      </c>
      <c r="O36" s="195">
        <f t="shared" si="18"/>
        <v>1.28</v>
      </c>
      <c r="P36" s="617">
        <f t="shared" si="18"/>
        <v>1.1200000000000001</v>
      </c>
      <c r="Q36" s="617">
        <f t="shared" si="18"/>
        <v>1.44</v>
      </c>
      <c r="R36" s="617">
        <f t="shared" si="18"/>
        <v>1.44</v>
      </c>
      <c r="S36" s="617">
        <f t="shared" si="18"/>
        <v>1.6</v>
      </c>
      <c r="T36" s="646">
        <f t="shared" si="18"/>
        <v>1.6</v>
      </c>
      <c r="U36" s="647">
        <f t="shared" si="18"/>
        <v>1.1200000000000001</v>
      </c>
    </row>
    <row r="37" spans="1:50" s="10" customFormat="1" ht="12" x14ac:dyDescent="0.2">
      <c r="A37" s="540" t="s">
        <v>140</v>
      </c>
      <c r="B37" s="537">
        <f>B34*$B$2</f>
        <v>1.0861260598514424</v>
      </c>
      <c r="C37" s="537">
        <f t="shared" ref="C37:U37" si="19">C34*$B$2</f>
        <v>0.95036030237001223</v>
      </c>
      <c r="D37" s="537">
        <f t="shared" si="19"/>
        <v>1.2218918173328728</v>
      </c>
      <c r="E37" s="537">
        <f t="shared" si="19"/>
        <v>1.2218918173328728</v>
      </c>
      <c r="F37" s="537">
        <f t="shared" si="19"/>
        <v>1.3576575748143032</v>
      </c>
      <c r="G37" s="537">
        <f t="shared" si="19"/>
        <v>1.3576575748143032</v>
      </c>
      <c r="H37" s="537">
        <f t="shared" si="19"/>
        <v>1.3576575748143032</v>
      </c>
      <c r="I37" s="537">
        <f t="shared" si="19"/>
        <v>1.3576575748143032</v>
      </c>
      <c r="J37" s="537">
        <f t="shared" si="19"/>
        <v>1.3576575748143032</v>
      </c>
      <c r="K37" s="537">
        <f t="shared" si="19"/>
        <v>1.3576575748143032</v>
      </c>
      <c r="L37" s="537">
        <f t="shared" si="19"/>
        <v>1.3576575748143032</v>
      </c>
      <c r="M37" s="537">
        <f t="shared" si="19"/>
        <v>0.95036030237001223</v>
      </c>
      <c r="N37" s="539">
        <f t="shared" si="19"/>
        <v>0.95036030237001223</v>
      </c>
      <c r="O37" s="542">
        <f t="shared" si="19"/>
        <v>1.0861260598514424</v>
      </c>
      <c r="P37" s="537">
        <f t="shared" si="19"/>
        <v>0.95036030237001223</v>
      </c>
      <c r="Q37" s="537">
        <f t="shared" si="19"/>
        <v>1.2218918173328728</v>
      </c>
      <c r="R37" s="537">
        <f t="shared" si="19"/>
        <v>1.2218918173328728</v>
      </c>
      <c r="S37" s="537">
        <f t="shared" si="19"/>
        <v>1.3576575748143032</v>
      </c>
      <c r="T37" s="539">
        <f t="shared" si="19"/>
        <v>1.3576575748143032</v>
      </c>
      <c r="U37" s="542">
        <f t="shared" si="19"/>
        <v>0.95036030237001223</v>
      </c>
    </row>
    <row r="38" spans="1:50" s="10" customFormat="1" ht="12" x14ac:dyDescent="0.2">
      <c r="A38" s="543" t="s">
        <v>141</v>
      </c>
      <c r="B38" s="544"/>
      <c r="C38" s="545"/>
      <c r="D38" s="545"/>
      <c r="E38" s="545"/>
      <c r="F38" s="545"/>
      <c r="G38" s="545"/>
      <c r="H38" s="545"/>
      <c r="I38" s="545"/>
      <c r="J38" s="545"/>
      <c r="K38" s="545"/>
      <c r="L38" s="545"/>
      <c r="M38" s="545"/>
      <c r="N38" s="659"/>
      <c r="O38" s="545"/>
      <c r="P38" s="545"/>
      <c r="Q38" s="545"/>
      <c r="R38" s="545"/>
      <c r="S38" s="545"/>
      <c r="T38" s="659"/>
      <c r="U38" s="545"/>
      <c r="V38" s="193"/>
      <c r="W38" s="193"/>
      <c r="X38" s="193"/>
      <c r="Y38" s="193"/>
      <c r="Z38" s="193"/>
      <c r="AA38" s="193"/>
      <c r="AB38" s="193"/>
      <c r="AC38" s="193"/>
      <c r="AD38" s="193"/>
      <c r="AE38" s="193"/>
      <c r="AF38" s="193"/>
      <c r="AG38" s="193"/>
      <c r="AH38" s="65"/>
      <c r="AI38" s="65"/>
      <c r="AJ38" s="65"/>
      <c r="AK38" s="65"/>
      <c r="AL38" s="65"/>
      <c r="AM38" s="65"/>
      <c r="AN38" s="65"/>
      <c r="AO38" s="65"/>
      <c r="AP38" s="65"/>
      <c r="AQ38" s="65"/>
      <c r="AR38" s="65"/>
      <c r="AS38" s="65"/>
      <c r="AT38" s="65"/>
      <c r="AU38" s="65"/>
      <c r="AV38" s="65"/>
      <c r="AW38" s="65"/>
      <c r="AX38" s="65"/>
    </row>
    <row r="39" spans="1:50" ht="12" x14ac:dyDescent="0.2">
      <c r="A39" s="546" t="s">
        <v>142</v>
      </c>
      <c r="B39" s="547">
        <f t="shared" ref="B39:U39" si="20">IF($B126&gt;=0.9, B$36,B$36*$B126)</f>
        <v>0.88102919273756064</v>
      </c>
      <c r="C39" s="547">
        <f t="shared" si="20"/>
        <v>0.77090054364536553</v>
      </c>
      <c r="D39" s="547">
        <f t="shared" si="20"/>
        <v>0.99115784182975564</v>
      </c>
      <c r="E39" s="547">
        <f t="shared" si="20"/>
        <v>0.99115784182975564</v>
      </c>
      <c r="F39" s="547">
        <f t="shared" si="20"/>
        <v>1.1012864909219509</v>
      </c>
      <c r="G39" s="547">
        <f t="shared" si="20"/>
        <v>1.1012864909219509</v>
      </c>
      <c r="H39" s="547">
        <f t="shared" si="20"/>
        <v>1.1012864909219509</v>
      </c>
      <c r="I39" s="547">
        <f t="shared" si="20"/>
        <v>1.1012864909219509</v>
      </c>
      <c r="J39" s="547">
        <f t="shared" si="20"/>
        <v>1.1012864909219509</v>
      </c>
      <c r="K39" s="547">
        <f t="shared" si="20"/>
        <v>1.1012864909219509</v>
      </c>
      <c r="L39" s="547">
        <f t="shared" si="20"/>
        <v>1.1012864909219509</v>
      </c>
      <c r="M39" s="547">
        <f t="shared" si="20"/>
        <v>0.77090054364536553</v>
      </c>
      <c r="N39" s="548">
        <f t="shared" si="20"/>
        <v>0.77090054364536553</v>
      </c>
      <c r="O39" s="549">
        <f t="shared" si="20"/>
        <v>0.88102919273756064</v>
      </c>
      <c r="P39" s="547">
        <f t="shared" si="20"/>
        <v>0.77090054364536553</v>
      </c>
      <c r="Q39" s="547">
        <f t="shared" si="20"/>
        <v>0.99115784182975564</v>
      </c>
      <c r="R39" s="547">
        <f t="shared" si="20"/>
        <v>0.99115784182975564</v>
      </c>
      <c r="S39" s="547">
        <f t="shared" si="20"/>
        <v>1.1012864909219509</v>
      </c>
      <c r="T39" s="548">
        <f t="shared" si="20"/>
        <v>1.1012864909219509</v>
      </c>
      <c r="U39" s="549">
        <f t="shared" si="20"/>
        <v>0.77090054364536553</v>
      </c>
      <c r="V39" s="65"/>
      <c r="W39" s="65"/>
      <c r="X39" s="65"/>
      <c r="Y39" s="65"/>
      <c r="Z39" s="65"/>
      <c r="AA39" s="65"/>
      <c r="AB39" s="65"/>
      <c r="AC39" s="65"/>
      <c r="AD39" s="65"/>
      <c r="AE39" s="65"/>
      <c r="AF39" s="65"/>
      <c r="AG39" s="65"/>
      <c r="AH39" s="65"/>
      <c r="AI39" s="65"/>
      <c r="AJ39" s="10"/>
      <c r="AK39" s="10"/>
      <c r="AL39" s="10"/>
      <c r="AM39" s="10"/>
      <c r="AN39" s="10"/>
      <c r="AO39" s="10"/>
      <c r="AP39" s="10"/>
      <c r="AQ39" s="10"/>
      <c r="AR39" s="10"/>
      <c r="AS39" s="10"/>
      <c r="AT39" s="10"/>
      <c r="AU39" s="10"/>
      <c r="AV39" s="10"/>
      <c r="AW39" s="10"/>
      <c r="AX39" s="10"/>
    </row>
    <row r="40" spans="1:50" ht="12" x14ac:dyDescent="0.2">
      <c r="A40" s="546" t="s">
        <v>143</v>
      </c>
      <c r="B40" s="547">
        <f t="shared" ref="B40:U40" si="21">IF($B127&gt;=0.9, B$36,B$36*$B127)</f>
        <v>0.67078235622812354</v>
      </c>
      <c r="C40" s="547">
        <f t="shared" si="21"/>
        <v>0.58693456169960823</v>
      </c>
      <c r="D40" s="547">
        <f t="shared" si="21"/>
        <v>0.75463015075663897</v>
      </c>
      <c r="E40" s="547">
        <f t="shared" si="21"/>
        <v>0.75463015075663897</v>
      </c>
      <c r="F40" s="547">
        <f t="shared" si="21"/>
        <v>0.83847794528515451</v>
      </c>
      <c r="G40" s="547">
        <f t="shared" si="21"/>
        <v>0.83847794528515451</v>
      </c>
      <c r="H40" s="547">
        <f t="shared" si="21"/>
        <v>0.83847794528515451</v>
      </c>
      <c r="I40" s="547">
        <f t="shared" si="21"/>
        <v>0.83847794528515451</v>
      </c>
      <c r="J40" s="547">
        <f t="shared" si="21"/>
        <v>0.83847794528515451</v>
      </c>
      <c r="K40" s="547">
        <f t="shared" si="21"/>
        <v>0.83847794528515451</v>
      </c>
      <c r="L40" s="547">
        <f t="shared" si="21"/>
        <v>0.83847794528515451</v>
      </c>
      <c r="M40" s="547">
        <f t="shared" si="21"/>
        <v>0.58693456169960823</v>
      </c>
      <c r="N40" s="548">
        <f t="shared" si="21"/>
        <v>0.58693456169960823</v>
      </c>
      <c r="O40" s="549">
        <f t="shared" si="21"/>
        <v>0.67078235622812354</v>
      </c>
      <c r="P40" s="547">
        <f t="shared" si="21"/>
        <v>0.58693456169960823</v>
      </c>
      <c r="Q40" s="547">
        <f t="shared" si="21"/>
        <v>0.75463015075663897</v>
      </c>
      <c r="R40" s="547">
        <f t="shared" si="21"/>
        <v>0.75463015075663897</v>
      </c>
      <c r="S40" s="547">
        <f t="shared" si="21"/>
        <v>0.83847794528515451</v>
      </c>
      <c r="T40" s="548">
        <f t="shared" si="21"/>
        <v>0.83847794528515451</v>
      </c>
      <c r="U40" s="549">
        <f t="shared" si="21"/>
        <v>0.58693456169960823</v>
      </c>
      <c r="V40" s="65"/>
      <c r="W40" s="65"/>
      <c r="X40" s="65"/>
      <c r="Y40" s="65"/>
      <c r="Z40" s="65"/>
      <c r="AA40" s="65"/>
      <c r="AB40" s="65"/>
      <c r="AC40" s="65"/>
      <c r="AD40" s="65"/>
      <c r="AE40" s="65"/>
      <c r="AF40" s="65"/>
      <c r="AG40" s="65"/>
      <c r="AH40" s="65"/>
      <c r="AI40" s="65"/>
      <c r="AJ40" s="10"/>
      <c r="AK40" s="10"/>
      <c r="AL40" s="10"/>
      <c r="AM40" s="10"/>
      <c r="AN40" s="10"/>
      <c r="AO40" s="10"/>
      <c r="AP40" s="10"/>
      <c r="AQ40" s="10"/>
      <c r="AR40" s="10"/>
      <c r="AS40" s="10"/>
      <c r="AT40" s="10"/>
      <c r="AU40" s="10"/>
      <c r="AV40" s="10"/>
      <c r="AW40" s="10"/>
      <c r="AX40" s="10"/>
    </row>
    <row r="41" spans="1:50" ht="12" x14ac:dyDescent="0.2">
      <c r="A41" s="550" t="s">
        <v>144</v>
      </c>
      <c r="B41" s="547">
        <f t="shared" ref="B41:U41" si="22">IF($B128&gt;=0.9, B$36,B$36*$B128)</f>
        <v>0.67017117356385192</v>
      </c>
      <c r="C41" s="547">
        <f t="shared" si="22"/>
        <v>0.58639977686837041</v>
      </c>
      <c r="D41" s="547">
        <f t="shared" si="22"/>
        <v>0.75394257025933331</v>
      </c>
      <c r="E41" s="547">
        <f t="shared" si="22"/>
        <v>0.75394257025933331</v>
      </c>
      <c r="F41" s="547">
        <f t="shared" si="22"/>
        <v>0.83771396695481481</v>
      </c>
      <c r="G41" s="547">
        <f t="shared" si="22"/>
        <v>0.83771396695481481</v>
      </c>
      <c r="H41" s="547">
        <f t="shared" si="22"/>
        <v>0.83771396695481481</v>
      </c>
      <c r="I41" s="547">
        <f t="shared" si="22"/>
        <v>0.83771396695481481</v>
      </c>
      <c r="J41" s="547">
        <f t="shared" si="22"/>
        <v>0.83771396695481481</v>
      </c>
      <c r="K41" s="547">
        <f t="shared" si="22"/>
        <v>0.83771396695481481</v>
      </c>
      <c r="L41" s="547">
        <f t="shared" si="22"/>
        <v>0.83771396695481481</v>
      </c>
      <c r="M41" s="547">
        <f t="shared" si="22"/>
        <v>0.58639977686837041</v>
      </c>
      <c r="N41" s="548">
        <f t="shared" si="22"/>
        <v>0.58639977686837041</v>
      </c>
      <c r="O41" s="549">
        <f t="shared" si="22"/>
        <v>0.67017117356385192</v>
      </c>
      <c r="P41" s="547">
        <f t="shared" si="22"/>
        <v>0.58639977686837041</v>
      </c>
      <c r="Q41" s="547">
        <f t="shared" si="22"/>
        <v>0.75394257025933331</v>
      </c>
      <c r="R41" s="547">
        <f t="shared" si="22"/>
        <v>0.75394257025933331</v>
      </c>
      <c r="S41" s="547">
        <f t="shared" si="22"/>
        <v>0.83771396695481481</v>
      </c>
      <c r="T41" s="548">
        <f t="shared" si="22"/>
        <v>0.83771396695481481</v>
      </c>
      <c r="U41" s="549">
        <f t="shared" si="22"/>
        <v>0.58639977686837041</v>
      </c>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1:50" ht="12" x14ac:dyDescent="0.2">
      <c r="A42" s="550" t="s">
        <v>145</v>
      </c>
      <c r="B42" s="547">
        <f t="shared" ref="B42:U42" si="23">IF($B129&gt;=0.9, B$36,B$36*$B129)</f>
        <v>0.46257279526625872</v>
      </c>
      <c r="C42" s="547">
        <f t="shared" si="23"/>
        <v>0.40475119585797642</v>
      </c>
      <c r="D42" s="547">
        <f t="shared" si="23"/>
        <v>0.52039439467454107</v>
      </c>
      <c r="E42" s="547">
        <f t="shared" si="23"/>
        <v>0.52039439467454107</v>
      </c>
      <c r="F42" s="547">
        <f t="shared" si="23"/>
        <v>0.57821599408282343</v>
      </c>
      <c r="G42" s="547">
        <f t="shared" si="23"/>
        <v>0.57821599408282343</v>
      </c>
      <c r="H42" s="547">
        <f t="shared" si="23"/>
        <v>0.57821599408282343</v>
      </c>
      <c r="I42" s="547">
        <f t="shared" si="23"/>
        <v>0.57821599408282343</v>
      </c>
      <c r="J42" s="547">
        <f t="shared" si="23"/>
        <v>0.57821599408282343</v>
      </c>
      <c r="K42" s="547">
        <f t="shared" si="23"/>
        <v>0.57821599408282343</v>
      </c>
      <c r="L42" s="547">
        <f t="shared" si="23"/>
        <v>0.57821599408282343</v>
      </c>
      <c r="M42" s="547">
        <f t="shared" si="23"/>
        <v>0.40475119585797642</v>
      </c>
      <c r="N42" s="548">
        <f t="shared" si="23"/>
        <v>0.40475119585797642</v>
      </c>
      <c r="O42" s="549">
        <f t="shared" si="23"/>
        <v>0.46257279526625872</v>
      </c>
      <c r="P42" s="547">
        <f t="shared" si="23"/>
        <v>0.40475119585797642</v>
      </c>
      <c r="Q42" s="547">
        <f t="shared" si="23"/>
        <v>0.52039439467454107</v>
      </c>
      <c r="R42" s="547">
        <f t="shared" si="23"/>
        <v>0.52039439467454107</v>
      </c>
      <c r="S42" s="547">
        <f t="shared" si="23"/>
        <v>0.57821599408282343</v>
      </c>
      <c r="T42" s="548">
        <f t="shared" si="23"/>
        <v>0.57821599408282343</v>
      </c>
      <c r="U42" s="549">
        <f t="shared" si="23"/>
        <v>0.40475119585797642</v>
      </c>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1:50" s="11" customFormat="1" ht="12" x14ac:dyDescent="0.2">
      <c r="A43" s="551" t="s">
        <v>146</v>
      </c>
      <c r="B43" s="547">
        <f t="shared" ref="B43:U43" si="24">IF($B130&gt;=0.9, B$36,B$36*$B130)</f>
        <v>0.57871224491932893</v>
      </c>
      <c r="C43" s="547">
        <f t="shared" si="24"/>
        <v>0.50637321430441284</v>
      </c>
      <c r="D43" s="547">
        <f t="shared" si="24"/>
        <v>0.65105127553424502</v>
      </c>
      <c r="E43" s="547">
        <f t="shared" si="24"/>
        <v>0.65105127553424502</v>
      </c>
      <c r="F43" s="547">
        <f t="shared" si="24"/>
        <v>0.72339030614916122</v>
      </c>
      <c r="G43" s="547">
        <f t="shared" si="24"/>
        <v>0.72339030614916122</v>
      </c>
      <c r="H43" s="547">
        <f t="shared" si="24"/>
        <v>0.72339030614916122</v>
      </c>
      <c r="I43" s="547">
        <f t="shared" si="24"/>
        <v>0.72339030614916122</v>
      </c>
      <c r="J43" s="547">
        <f t="shared" si="24"/>
        <v>0.72339030614916122</v>
      </c>
      <c r="K43" s="547">
        <f t="shared" si="24"/>
        <v>0.72339030614916122</v>
      </c>
      <c r="L43" s="547">
        <f t="shared" si="24"/>
        <v>0.72339030614916122</v>
      </c>
      <c r="M43" s="547">
        <f t="shared" si="24"/>
        <v>0.50637321430441284</v>
      </c>
      <c r="N43" s="548">
        <f t="shared" si="24"/>
        <v>0.50637321430441284</v>
      </c>
      <c r="O43" s="549">
        <f t="shared" si="24"/>
        <v>0.57871224491932893</v>
      </c>
      <c r="P43" s="547">
        <f t="shared" si="24"/>
        <v>0.50637321430441284</v>
      </c>
      <c r="Q43" s="547">
        <f t="shared" si="24"/>
        <v>0.65105127553424502</v>
      </c>
      <c r="R43" s="547">
        <f t="shared" si="24"/>
        <v>0.65105127553424502</v>
      </c>
      <c r="S43" s="547">
        <f t="shared" si="24"/>
        <v>0.72339030614916122</v>
      </c>
      <c r="T43" s="548">
        <f t="shared" si="24"/>
        <v>0.72339030614916122</v>
      </c>
      <c r="U43" s="549">
        <f t="shared" si="24"/>
        <v>0.50637321430441284</v>
      </c>
      <c r="V43" s="185"/>
      <c r="W43" s="185"/>
      <c r="X43" s="185"/>
      <c r="Y43" s="185"/>
      <c r="Z43" s="185"/>
      <c r="AA43" s="185"/>
      <c r="AB43" s="185"/>
      <c r="AC43" s="185"/>
      <c r="AD43" s="185"/>
      <c r="AE43" s="185"/>
      <c r="AF43" s="185"/>
      <c r="AG43" s="185"/>
      <c r="AH43" s="185"/>
      <c r="AI43" s="185"/>
    </row>
    <row r="44" spans="1:50" ht="12" x14ac:dyDescent="0.2">
      <c r="A44" s="550" t="s">
        <v>147</v>
      </c>
      <c r="B44" s="547">
        <f t="shared" ref="B44:U44" si="25">IF($B131&gt;=0.9, B$36,B$36*$B131)</f>
        <v>0.32983491115191699</v>
      </c>
      <c r="C44" s="547">
        <f t="shared" si="25"/>
        <v>0.28860554725792736</v>
      </c>
      <c r="D44" s="547">
        <f t="shared" si="25"/>
        <v>0.37106427504590656</v>
      </c>
      <c r="E44" s="547">
        <f t="shared" si="25"/>
        <v>0.37106427504590656</v>
      </c>
      <c r="F44" s="547">
        <f t="shared" si="25"/>
        <v>0.41229363893989623</v>
      </c>
      <c r="G44" s="547">
        <f t="shared" si="25"/>
        <v>0.41229363893989623</v>
      </c>
      <c r="H44" s="547">
        <f t="shared" si="25"/>
        <v>0.41229363893989623</v>
      </c>
      <c r="I44" s="547">
        <f t="shared" si="25"/>
        <v>0.41229363893989623</v>
      </c>
      <c r="J44" s="547">
        <f t="shared" si="25"/>
        <v>0.41229363893989623</v>
      </c>
      <c r="K44" s="547">
        <f t="shared" si="25"/>
        <v>0.41229363893989623</v>
      </c>
      <c r="L44" s="547">
        <f t="shared" si="25"/>
        <v>0.41229363893989623</v>
      </c>
      <c r="M44" s="547">
        <f t="shared" si="25"/>
        <v>0.28860554725792736</v>
      </c>
      <c r="N44" s="548">
        <f t="shared" si="25"/>
        <v>0.28860554725792736</v>
      </c>
      <c r="O44" s="549">
        <f t="shared" si="25"/>
        <v>0.32983491115191699</v>
      </c>
      <c r="P44" s="547">
        <f t="shared" si="25"/>
        <v>0.28860554725792736</v>
      </c>
      <c r="Q44" s="547">
        <f t="shared" si="25"/>
        <v>0.37106427504590656</v>
      </c>
      <c r="R44" s="547">
        <f t="shared" si="25"/>
        <v>0.37106427504590656</v>
      </c>
      <c r="S44" s="547">
        <f t="shared" si="25"/>
        <v>0.41229363893989623</v>
      </c>
      <c r="T44" s="548">
        <f t="shared" si="25"/>
        <v>0.41229363893989623</v>
      </c>
      <c r="U44" s="549">
        <f t="shared" si="25"/>
        <v>0.28860554725792736</v>
      </c>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1:50" s="10" customFormat="1" ht="12" x14ac:dyDescent="0.2">
      <c r="A45" s="550" t="s">
        <v>148</v>
      </c>
      <c r="B45" s="547">
        <f t="shared" ref="B45:U45" si="26">IF($B132&gt;=0.9, B$36,B$36*$B132)</f>
        <v>1.0973489868167665</v>
      </c>
      <c r="C45" s="547">
        <f t="shared" si="26"/>
        <v>0.96018036346467084</v>
      </c>
      <c r="D45" s="547">
        <f t="shared" si="26"/>
        <v>1.2345176101688624</v>
      </c>
      <c r="E45" s="547">
        <f t="shared" si="26"/>
        <v>1.2345176101688624</v>
      </c>
      <c r="F45" s="547">
        <f t="shared" si="26"/>
        <v>1.3716862335209583</v>
      </c>
      <c r="G45" s="547">
        <f t="shared" si="26"/>
        <v>1.3716862335209583</v>
      </c>
      <c r="H45" s="547">
        <f t="shared" si="26"/>
        <v>1.3716862335209583</v>
      </c>
      <c r="I45" s="547">
        <f t="shared" si="26"/>
        <v>1.3716862335209583</v>
      </c>
      <c r="J45" s="547">
        <f t="shared" si="26"/>
        <v>1.3716862335209583</v>
      </c>
      <c r="K45" s="547">
        <f t="shared" si="26"/>
        <v>1.3716862335209583</v>
      </c>
      <c r="L45" s="547">
        <f t="shared" si="26"/>
        <v>1.3716862335209583</v>
      </c>
      <c r="M45" s="547">
        <f t="shared" si="26"/>
        <v>0.96018036346467084</v>
      </c>
      <c r="N45" s="548">
        <f t="shared" si="26"/>
        <v>0.96018036346467084</v>
      </c>
      <c r="O45" s="549">
        <f t="shared" si="26"/>
        <v>1.0973489868167665</v>
      </c>
      <c r="P45" s="547">
        <f t="shared" si="26"/>
        <v>0.96018036346467084</v>
      </c>
      <c r="Q45" s="547">
        <f t="shared" si="26"/>
        <v>1.2345176101688624</v>
      </c>
      <c r="R45" s="547">
        <f t="shared" si="26"/>
        <v>1.2345176101688624</v>
      </c>
      <c r="S45" s="547">
        <f t="shared" si="26"/>
        <v>1.3716862335209583</v>
      </c>
      <c r="T45" s="548">
        <f t="shared" si="26"/>
        <v>1.3716862335209583</v>
      </c>
      <c r="U45" s="549">
        <f t="shared" si="26"/>
        <v>0.96018036346467084</v>
      </c>
      <c r="V45" s="65"/>
      <c r="W45" s="65"/>
      <c r="X45" s="65"/>
      <c r="Y45" s="65"/>
      <c r="Z45" s="65"/>
      <c r="AA45" s="65"/>
      <c r="AB45" s="65"/>
      <c r="AC45" s="65"/>
      <c r="AD45" s="65"/>
      <c r="AE45" s="65"/>
      <c r="AF45" s="65"/>
      <c r="AG45" s="65"/>
      <c r="AH45" s="65"/>
      <c r="AI45" s="65"/>
    </row>
    <row r="46" spans="1:50" s="10" customFormat="1" ht="12" x14ac:dyDescent="0.2">
      <c r="A46" s="550" t="s">
        <v>149</v>
      </c>
      <c r="B46" s="547">
        <f t="shared" ref="B46:U46" si="27">IF($B133&gt;=0.9, B$36,B$36*$B133)</f>
        <v>0.42590171356333789</v>
      </c>
      <c r="C46" s="547">
        <f t="shared" si="27"/>
        <v>0.37266399936792072</v>
      </c>
      <c r="D46" s="547">
        <f t="shared" si="27"/>
        <v>0.47913942775875512</v>
      </c>
      <c r="E46" s="547">
        <f t="shared" si="27"/>
        <v>0.47913942775875512</v>
      </c>
      <c r="F46" s="547">
        <f t="shared" si="27"/>
        <v>0.53237714195417241</v>
      </c>
      <c r="G46" s="547">
        <f t="shared" si="27"/>
        <v>0.53237714195417241</v>
      </c>
      <c r="H46" s="547">
        <f t="shared" si="27"/>
        <v>0.53237714195417241</v>
      </c>
      <c r="I46" s="547">
        <f t="shared" si="27"/>
        <v>0.53237714195417241</v>
      </c>
      <c r="J46" s="547">
        <f t="shared" si="27"/>
        <v>0.53237714195417241</v>
      </c>
      <c r="K46" s="547">
        <f t="shared" si="27"/>
        <v>0.53237714195417241</v>
      </c>
      <c r="L46" s="547">
        <f t="shared" si="27"/>
        <v>0.53237714195417241</v>
      </c>
      <c r="M46" s="547">
        <f t="shared" si="27"/>
        <v>0.37266399936792072</v>
      </c>
      <c r="N46" s="548">
        <f t="shared" si="27"/>
        <v>0.37266399936792072</v>
      </c>
      <c r="O46" s="549">
        <f t="shared" si="27"/>
        <v>0.42590171356333789</v>
      </c>
      <c r="P46" s="547">
        <f t="shared" si="27"/>
        <v>0.37266399936792072</v>
      </c>
      <c r="Q46" s="547">
        <f t="shared" si="27"/>
        <v>0.47913942775875512</v>
      </c>
      <c r="R46" s="547">
        <f t="shared" si="27"/>
        <v>0.47913942775875512</v>
      </c>
      <c r="S46" s="547">
        <f t="shared" si="27"/>
        <v>0.53237714195417241</v>
      </c>
      <c r="T46" s="548">
        <f t="shared" si="27"/>
        <v>0.53237714195417241</v>
      </c>
      <c r="U46" s="549">
        <f t="shared" si="27"/>
        <v>0.37266399936792072</v>
      </c>
      <c r="V46" s="65"/>
      <c r="W46" s="65"/>
      <c r="X46" s="65"/>
      <c r="Y46" s="65"/>
      <c r="Z46" s="65"/>
      <c r="AA46" s="65"/>
      <c r="AB46" s="65"/>
      <c r="AC46" s="65"/>
      <c r="AD46" s="65"/>
      <c r="AE46" s="65"/>
      <c r="AF46" s="65"/>
      <c r="AG46" s="65"/>
      <c r="AH46" s="65"/>
      <c r="AI46" s="65"/>
    </row>
    <row r="47" spans="1:50" s="10" customFormat="1" ht="12" x14ac:dyDescent="0.2">
      <c r="A47" s="550" t="s">
        <v>150</v>
      </c>
      <c r="B47" s="547">
        <f>IF(B$13="Deploy",B$36,IF($B134&gt;=0.9, B$36,B$36*$B129))</f>
        <v>0.46257279526625872</v>
      </c>
      <c r="C47" s="547">
        <f t="shared" ref="C47:N47" si="28">IF(C$13="Deploy",C$36,IF($B134&gt;=0.9, C$36,C$36*$B129))</f>
        <v>0.40475119585797642</v>
      </c>
      <c r="D47" s="547">
        <f t="shared" si="28"/>
        <v>0.52039439467454107</v>
      </c>
      <c r="E47" s="547">
        <f t="shared" si="28"/>
        <v>0.52039439467454107</v>
      </c>
      <c r="F47" s="547">
        <f t="shared" si="28"/>
        <v>0.57821599408282343</v>
      </c>
      <c r="G47" s="547">
        <f t="shared" si="28"/>
        <v>1.6</v>
      </c>
      <c r="H47" s="547">
        <f t="shared" si="28"/>
        <v>1.6</v>
      </c>
      <c r="I47" s="547">
        <f t="shared" si="28"/>
        <v>0.57821599408282343</v>
      </c>
      <c r="J47" s="547">
        <f t="shared" si="28"/>
        <v>1.6</v>
      </c>
      <c r="K47" s="547">
        <f t="shared" si="28"/>
        <v>1.6</v>
      </c>
      <c r="L47" s="547">
        <f t="shared" si="28"/>
        <v>1.6</v>
      </c>
      <c r="M47" s="547">
        <f t="shared" si="28"/>
        <v>0.40475119585797642</v>
      </c>
      <c r="N47" s="548">
        <f t="shared" si="28"/>
        <v>0.40475119585797642</v>
      </c>
      <c r="O47" s="549">
        <f>O36</f>
        <v>1.28</v>
      </c>
      <c r="P47" s="547">
        <f t="shared" ref="P47:T47" si="29">P36</f>
        <v>1.1200000000000001</v>
      </c>
      <c r="Q47" s="547">
        <f t="shared" si="29"/>
        <v>1.44</v>
      </c>
      <c r="R47" s="547">
        <f t="shared" si="29"/>
        <v>1.44</v>
      </c>
      <c r="S47" s="547">
        <f t="shared" si="29"/>
        <v>1.6</v>
      </c>
      <c r="T47" s="548">
        <f t="shared" si="29"/>
        <v>1.6</v>
      </c>
      <c r="U47" s="549">
        <f>IF($B134&gt;=0.9, U$36,U$36*$B134)</f>
        <v>0.19832414438444135</v>
      </c>
      <c r="V47" s="65"/>
      <c r="W47" s="65"/>
      <c r="X47" s="65"/>
      <c r="Y47" s="65"/>
      <c r="Z47" s="65"/>
      <c r="AA47" s="65"/>
      <c r="AB47" s="65"/>
      <c r="AC47" s="65"/>
      <c r="AD47" s="65"/>
      <c r="AE47" s="65"/>
      <c r="AF47" s="65"/>
      <c r="AG47" s="65"/>
      <c r="AH47" s="65"/>
      <c r="AI47" s="65"/>
    </row>
    <row r="48" spans="1:50" s="10" customFormat="1" ht="12.75" x14ac:dyDescent="0.2">
      <c r="A48" s="552" t="s">
        <v>151</v>
      </c>
      <c r="B48" s="547">
        <f t="shared" ref="B48:U48" si="30">IF($B135&gt;=0.9, B$36,B$36*$B135)</f>
        <v>1.28</v>
      </c>
      <c r="C48" s="547">
        <f t="shared" si="30"/>
        <v>1.1200000000000001</v>
      </c>
      <c r="D48" s="547">
        <f t="shared" si="30"/>
        <v>1.44</v>
      </c>
      <c r="E48" s="547">
        <f t="shared" si="30"/>
        <v>1.44</v>
      </c>
      <c r="F48" s="547">
        <f t="shared" si="30"/>
        <v>1.6</v>
      </c>
      <c r="G48" s="547">
        <f t="shared" si="30"/>
        <v>1.6</v>
      </c>
      <c r="H48" s="547">
        <f t="shared" si="30"/>
        <v>1.6</v>
      </c>
      <c r="I48" s="547">
        <f t="shared" si="30"/>
        <v>1.6</v>
      </c>
      <c r="J48" s="547">
        <f t="shared" si="30"/>
        <v>1.6</v>
      </c>
      <c r="K48" s="547">
        <f t="shared" si="30"/>
        <v>1.6</v>
      </c>
      <c r="L48" s="547">
        <f t="shared" si="30"/>
        <v>1.6</v>
      </c>
      <c r="M48" s="547">
        <f t="shared" si="30"/>
        <v>1.1200000000000001</v>
      </c>
      <c r="N48" s="548">
        <f t="shared" si="30"/>
        <v>1.1200000000000001</v>
      </c>
      <c r="O48" s="549">
        <f t="shared" si="30"/>
        <v>1.28</v>
      </c>
      <c r="P48" s="547">
        <f t="shared" si="30"/>
        <v>1.1200000000000001</v>
      </c>
      <c r="Q48" s="547">
        <f t="shared" si="30"/>
        <v>1.44</v>
      </c>
      <c r="R48" s="547">
        <f t="shared" si="30"/>
        <v>1.44</v>
      </c>
      <c r="S48" s="547">
        <f t="shared" si="30"/>
        <v>1.6</v>
      </c>
      <c r="T48" s="548">
        <f t="shared" si="30"/>
        <v>1.6</v>
      </c>
      <c r="U48" s="549">
        <f t="shared" si="30"/>
        <v>1.1200000000000001</v>
      </c>
      <c r="V48" s="65"/>
      <c r="W48" s="65"/>
      <c r="X48" s="65"/>
      <c r="Y48" s="65"/>
      <c r="Z48" s="65"/>
      <c r="AA48" s="65"/>
      <c r="AB48" s="65"/>
      <c r="AC48" s="65"/>
      <c r="AD48" s="65"/>
      <c r="AE48" s="65"/>
      <c r="AF48" s="65"/>
      <c r="AG48" s="65"/>
      <c r="AH48" s="65"/>
      <c r="AI48" s="65"/>
    </row>
    <row r="49" spans="1:50" s="10" customFormat="1" ht="12" x14ac:dyDescent="0.2">
      <c r="A49" s="194" t="s">
        <v>152</v>
      </c>
      <c r="B49" s="622"/>
      <c r="C49" s="622"/>
      <c r="D49" s="622"/>
      <c r="E49" s="622"/>
      <c r="F49" s="622"/>
      <c r="G49" s="622"/>
      <c r="H49" s="622"/>
      <c r="I49" s="622"/>
      <c r="J49" s="622"/>
      <c r="K49" s="622"/>
      <c r="L49" s="622"/>
      <c r="M49" s="622"/>
      <c r="N49" s="622"/>
      <c r="O49" s="195"/>
      <c r="P49" s="617"/>
      <c r="Q49" s="617"/>
      <c r="R49" s="617"/>
      <c r="S49" s="617"/>
      <c r="T49" s="646"/>
      <c r="U49" s="647"/>
      <c r="V49" s="193"/>
      <c r="W49" s="193"/>
      <c r="X49" s="193"/>
      <c r="Y49" s="193"/>
      <c r="Z49" s="193"/>
      <c r="AA49" s="193"/>
      <c r="AB49" s="193"/>
      <c r="AC49" s="193"/>
      <c r="AD49" s="193"/>
      <c r="AE49" s="193"/>
      <c r="AF49" s="193"/>
      <c r="AG49" s="193"/>
      <c r="AH49" s="65"/>
      <c r="AI49" s="65"/>
      <c r="AJ49" s="65"/>
      <c r="AK49" s="65"/>
      <c r="AL49" s="65"/>
      <c r="AM49" s="65"/>
      <c r="AN49" s="65"/>
      <c r="AO49" s="65"/>
      <c r="AP49" s="65"/>
      <c r="AQ49" s="65"/>
      <c r="AR49" s="65"/>
      <c r="AS49" s="65"/>
      <c r="AT49" s="65"/>
      <c r="AU49" s="65"/>
      <c r="AV49" s="65"/>
      <c r="AW49" s="65"/>
      <c r="AX49" s="65"/>
    </row>
    <row r="50" spans="1:50" s="10" customFormat="1" ht="12" x14ac:dyDescent="0.2">
      <c r="A50" s="616" t="s">
        <v>210</v>
      </c>
      <c r="B50" s="123">
        <f t="shared" ref="B50:U50" si="31">ROUND(B51/0.75,2)</f>
        <v>0.68</v>
      </c>
      <c r="C50" s="123">
        <f t="shared" si="31"/>
        <v>0.28999999999999998</v>
      </c>
      <c r="D50" s="123">
        <f t="shared" si="31"/>
        <v>1.05</v>
      </c>
      <c r="E50" s="123">
        <f t="shared" si="31"/>
        <v>1.05</v>
      </c>
      <c r="F50" s="123">
        <f t="shared" si="31"/>
        <v>1.28</v>
      </c>
      <c r="G50" s="263">
        <v>2</v>
      </c>
      <c r="H50" s="263">
        <v>2</v>
      </c>
      <c r="I50" s="123">
        <f t="shared" si="31"/>
        <v>1.28</v>
      </c>
      <c r="J50" s="263">
        <v>2</v>
      </c>
      <c r="K50" s="263">
        <v>2</v>
      </c>
      <c r="L50" s="263">
        <v>2</v>
      </c>
      <c r="M50" s="123">
        <f t="shared" si="31"/>
        <v>0.28999999999999998</v>
      </c>
      <c r="N50" s="192">
        <f t="shared" si="31"/>
        <v>0.28999999999999998</v>
      </c>
      <c r="O50" s="227">
        <v>2</v>
      </c>
      <c r="P50" s="624">
        <v>2</v>
      </c>
      <c r="Q50" s="624">
        <v>2</v>
      </c>
      <c r="R50" s="624">
        <v>2</v>
      </c>
      <c r="S50" s="624">
        <v>2</v>
      </c>
      <c r="T50" s="673">
        <v>2</v>
      </c>
      <c r="U50" s="118">
        <f t="shared" si="31"/>
        <v>0.28999999999999998</v>
      </c>
      <c r="V50" s="65"/>
      <c r="W50" s="65"/>
      <c r="X50" s="65"/>
      <c r="Y50" s="65"/>
      <c r="Z50" s="65"/>
      <c r="AA50" s="65"/>
      <c r="AB50" s="65"/>
      <c r="AC50" s="65"/>
      <c r="AD50" s="65"/>
      <c r="AE50" s="65"/>
      <c r="AF50" s="65"/>
      <c r="AG50" s="65"/>
      <c r="AH50" s="65"/>
      <c r="AI50" s="65"/>
    </row>
    <row r="51" spans="1:50" s="10" customFormat="1" ht="12" x14ac:dyDescent="0.2">
      <c r="A51" s="616" t="s">
        <v>214</v>
      </c>
      <c r="B51" s="617">
        <f>ROUND(IF(B$36*VLOOKUP(B$13,$L$3:$O$7,4,FALSE)&lt;0.01,0.01,B$36*VLOOKUP(B$13,$L$3:$O$7,4,FALSE)),2)</f>
        <v>0.51</v>
      </c>
      <c r="C51" s="617">
        <f>ROUND(IF(C$36*VLOOKUP(C$13,$L$3:$O$7,4,FALSE)&lt;0.01,0.01,C$36*VLOOKUP(C$13,$L$3:$O$7,4,FALSE)),2)</f>
        <v>0.22</v>
      </c>
      <c r="D51" s="617">
        <f>ROUND(IF(D$36*VLOOKUP(D$13,$L$3:$O$7,4,FALSE)&lt;0.01,0.01,D$36*VLOOKUP(D$13,$L$3:$O$7,4,FALSE)),2)</f>
        <v>0.79</v>
      </c>
      <c r="E51" s="617">
        <f>ROUND(IF(E$36*VLOOKUP(E$13,$L$3:$O$7,4,FALSE)&lt;0.01,0.01,E$36*VLOOKUP(E$13,$L$3:$O$7,4,FALSE)),2)</f>
        <v>0.79</v>
      </c>
      <c r="F51" s="617">
        <f>ROUND(IF(F$36*VLOOKUP(F$13,$L$3:$O$7,4,FALSE)&lt;0.01,0.01,F$36*VLOOKUP(F$13,$L$3:$O$7,4,FALSE)),2)</f>
        <v>0.96</v>
      </c>
      <c r="G51" s="624">
        <f>G50*0.75</f>
        <v>1.5</v>
      </c>
      <c r="H51" s="624">
        <f>H50*0.75</f>
        <v>1.5</v>
      </c>
      <c r="I51" s="617">
        <f>ROUND(IF(I$36*VLOOKUP(I$13,$L$3:$O$7,4,FALSE)&lt;0.01,0.01,I$36*VLOOKUP(I$13,$L$3:$O$7,4,FALSE)),2)</f>
        <v>0.96</v>
      </c>
      <c r="J51" s="624">
        <f>J50*0.75</f>
        <v>1.5</v>
      </c>
      <c r="K51" s="624">
        <f>K50*0.75</f>
        <v>1.5</v>
      </c>
      <c r="L51" s="624">
        <f>L50*0.75</f>
        <v>1.5</v>
      </c>
      <c r="M51" s="617">
        <f>ROUND(IF(M$36*VLOOKUP(M$13,$L$3:$O$7,4,FALSE)&lt;0.01,0.01,M$36*VLOOKUP(M$13,$L$3:$O$7,4,FALSE)),2)</f>
        <v>0.22</v>
      </c>
      <c r="N51" s="618">
        <f>ROUND(IF(N$36*VLOOKUP(N$13,$L$3:$O$7,4,FALSE)&lt;0.01,0.01,N$36*VLOOKUP(N$13,$L$3:$O$7,4,FALSE)),2)</f>
        <v>0.22</v>
      </c>
      <c r="O51" s="227">
        <f t="shared" ref="O51:T51" si="32">O50*0.75</f>
        <v>1.5</v>
      </c>
      <c r="P51" s="624">
        <f t="shared" si="32"/>
        <v>1.5</v>
      </c>
      <c r="Q51" s="624">
        <f t="shared" si="32"/>
        <v>1.5</v>
      </c>
      <c r="R51" s="624">
        <f t="shared" si="32"/>
        <v>1.5</v>
      </c>
      <c r="S51" s="624">
        <f t="shared" si="32"/>
        <v>1.5</v>
      </c>
      <c r="T51" s="673">
        <f t="shared" si="32"/>
        <v>1.5</v>
      </c>
      <c r="U51" s="647">
        <f>ROUND(IF(U$36*$O$3&lt;0.01,0.01,U$36*$O$3),2)</f>
        <v>0.22</v>
      </c>
      <c r="V51" s="65"/>
      <c r="W51" s="65"/>
      <c r="X51" s="65"/>
      <c r="Y51" s="65"/>
      <c r="Z51" s="65"/>
      <c r="AA51" s="65"/>
      <c r="AB51" s="65"/>
      <c r="AC51" s="65"/>
      <c r="AD51" s="65"/>
      <c r="AE51" s="65"/>
      <c r="AF51" s="65"/>
      <c r="AG51" s="65"/>
      <c r="AH51" s="65"/>
      <c r="AI51" s="65"/>
    </row>
    <row r="52" spans="1:50" ht="12.75" x14ac:dyDescent="0.2">
      <c r="A52" s="528" t="s">
        <v>155</v>
      </c>
      <c r="B52" s="661"/>
      <c r="C52" s="661"/>
      <c r="D52" s="661"/>
      <c r="E52" s="661"/>
      <c r="F52" s="661"/>
      <c r="G52" s="661"/>
      <c r="H52" s="661"/>
      <c r="I52" s="661"/>
      <c r="J52" s="661"/>
      <c r="K52" s="661"/>
      <c r="L52" s="661"/>
      <c r="M52" s="661"/>
      <c r="N52" s="661"/>
      <c r="O52" s="226"/>
      <c r="P52" s="674"/>
      <c r="Q52" s="675"/>
      <c r="R52" s="674"/>
      <c r="S52" s="674"/>
      <c r="T52" s="676"/>
      <c r="U52" s="664"/>
      <c r="V52" s="186"/>
      <c r="W52" s="185"/>
      <c r="X52" s="185"/>
      <c r="Z52" s="162"/>
    </row>
    <row r="53" spans="1:50" s="10" customFormat="1" ht="12" x14ac:dyDescent="0.2">
      <c r="A53" s="507" t="str">
        <f>A86</f>
        <v>Pilot Upper Limit</v>
      </c>
      <c r="B53" s="20">
        <f t="shared" ref="B53:U53" si="33">$B$86</f>
        <v>6</v>
      </c>
      <c r="C53" s="20">
        <f t="shared" si="33"/>
        <v>6</v>
      </c>
      <c r="D53" s="20">
        <f t="shared" si="33"/>
        <v>6</v>
      </c>
      <c r="E53" s="20">
        <f t="shared" si="33"/>
        <v>6</v>
      </c>
      <c r="F53" s="20">
        <f t="shared" si="33"/>
        <v>6</v>
      </c>
      <c r="G53" s="20">
        <f t="shared" si="33"/>
        <v>6</v>
      </c>
      <c r="H53" s="20">
        <f t="shared" si="33"/>
        <v>6</v>
      </c>
      <c r="I53" s="20">
        <f t="shared" si="33"/>
        <v>6</v>
      </c>
      <c r="J53" s="20">
        <f t="shared" si="33"/>
        <v>6</v>
      </c>
      <c r="K53" s="20">
        <f t="shared" si="33"/>
        <v>6</v>
      </c>
      <c r="L53" s="20">
        <f t="shared" si="33"/>
        <v>6</v>
      </c>
      <c r="M53" s="20">
        <f t="shared" si="33"/>
        <v>6</v>
      </c>
      <c r="N53" s="665">
        <f t="shared" si="33"/>
        <v>6</v>
      </c>
      <c r="O53" s="268">
        <f t="shared" si="33"/>
        <v>6</v>
      </c>
      <c r="P53" s="20">
        <f t="shared" si="33"/>
        <v>6</v>
      </c>
      <c r="Q53" s="20">
        <f t="shared" si="33"/>
        <v>6</v>
      </c>
      <c r="R53" s="20">
        <f t="shared" si="33"/>
        <v>6</v>
      </c>
      <c r="S53" s="20">
        <f t="shared" si="33"/>
        <v>6</v>
      </c>
      <c r="T53" s="85">
        <f t="shared" si="33"/>
        <v>6</v>
      </c>
      <c r="U53" s="269">
        <f t="shared" si="33"/>
        <v>6</v>
      </c>
      <c r="V53" s="65"/>
      <c r="W53" s="65"/>
      <c r="X53" s="65"/>
      <c r="Z53" s="149"/>
    </row>
    <row r="54" spans="1:50" s="10" customFormat="1" ht="12" x14ac:dyDescent="0.2">
      <c r="A54" s="562" t="str">
        <f>A87</f>
        <v>Pilot Lower Limit</v>
      </c>
      <c r="B54" s="563">
        <f>ROUND(IF(B$13="Deploy",MAX((B$77/100)*$B87,$B87),(B$77/100)*$B87),0)</f>
        <v>1</v>
      </c>
      <c r="C54" s="563">
        <f>ROUNDUP(IF(C$13="Deploy",MAX((C$77/100)*$B87,$B87),(C$77/100)*$B87),0)</f>
        <v>1</v>
      </c>
      <c r="D54" s="563">
        <f t="shared" ref="D54:L54" si="34">ROUND(IF(D$13="Deploy",MAX((D$77/100)*$B87,$B87),(D$77/100)*$B87),0)</f>
        <v>4</v>
      </c>
      <c r="E54" s="563">
        <f t="shared" si="34"/>
        <v>4</v>
      </c>
      <c r="F54" s="563">
        <f t="shared" si="34"/>
        <v>5</v>
      </c>
      <c r="G54" s="563">
        <f t="shared" si="34"/>
        <v>6</v>
      </c>
      <c r="H54" s="563">
        <f t="shared" si="34"/>
        <v>6</v>
      </c>
      <c r="I54" s="563">
        <f t="shared" si="34"/>
        <v>5</v>
      </c>
      <c r="J54" s="563">
        <f t="shared" si="34"/>
        <v>6</v>
      </c>
      <c r="K54" s="563">
        <f t="shared" si="34"/>
        <v>6</v>
      </c>
      <c r="L54" s="563">
        <f t="shared" si="34"/>
        <v>6</v>
      </c>
      <c r="M54" s="563">
        <f>ROUNDUP(IF(M$13="Deploy",MAX((M$77/100)*$B87,$B87),(M$77/100)*$B87),0)</f>
        <v>1</v>
      </c>
      <c r="N54" s="565">
        <f>ROUNDUP(IF(N$13="Deploy",MAX((N$77/100)*$B87,$B87),(N$77/100)*$B87),0)</f>
        <v>1</v>
      </c>
      <c r="O54" s="566">
        <f>ROUND(IF(O$13="Deploy",MAX((O$77/100)*$B87,$B87),(O$77/100)*$B87),0)</f>
        <v>1</v>
      </c>
      <c r="P54" s="563">
        <f>ROUNDUP(IF(P$13="Deploy",MAX((P$77/100)*$B87,$B87),(P$77/100)*$B87),0)</f>
        <v>1</v>
      </c>
      <c r="Q54" s="563">
        <f>ROUND(IF(Q$13="Deploy",MAX((Q$77/100)*$B87,$B87),(Q$77/100)*$B87),0)</f>
        <v>4</v>
      </c>
      <c r="R54" s="563">
        <f>ROUND(IF(R$13="Deploy",MAX((R$77/100)*$B87,$B87),(R$77/100)*$B87),0)</f>
        <v>4</v>
      </c>
      <c r="S54" s="563">
        <f>ROUND(IF(S$13="Deploy",MAX((S$77/100)*$B87,$B87),(S$77/100)*$B87),0)</f>
        <v>5</v>
      </c>
      <c r="T54" s="564">
        <f>ROUND(IF(T$13="Deploy",MAX((T$77/100)*$B87,$B87),(T$77/100)*$B87),0)</f>
        <v>5</v>
      </c>
      <c r="U54" s="100">
        <f>ROUND(IF(U$13="Deploy",MAX((U$77/100)*$B87,$B87),(U$77/100)*$B87),0)</f>
        <v>2</v>
      </c>
      <c r="V54" s="65"/>
      <c r="W54" s="65"/>
      <c r="X54" s="65"/>
      <c r="Z54" s="149"/>
    </row>
    <row r="55" spans="1:50" s="10" customFormat="1" ht="12" x14ac:dyDescent="0.2">
      <c r="A55" s="507" t="str">
        <f>A88</f>
        <v>Aircrew Upper Limit</v>
      </c>
      <c r="B55" s="567">
        <f t="shared" ref="B55:U55" si="35">$B$88</f>
        <v>3</v>
      </c>
      <c r="C55" s="567">
        <f t="shared" si="35"/>
        <v>3</v>
      </c>
      <c r="D55" s="567">
        <f t="shared" si="35"/>
        <v>3</v>
      </c>
      <c r="E55" s="567">
        <f t="shared" si="35"/>
        <v>3</v>
      </c>
      <c r="F55" s="567">
        <f t="shared" si="35"/>
        <v>3</v>
      </c>
      <c r="G55" s="567">
        <f t="shared" si="35"/>
        <v>3</v>
      </c>
      <c r="H55" s="567">
        <f t="shared" si="35"/>
        <v>3</v>
      </c>
      <c r="I55" s="567">
        <f t="shared" si="35"/>
        <v>3</v>
      </c>
      <c r="J55" s="567">
        <f t="shared" si="35"/>
        <v>3</v>
      </c>
      <c r="K55" s="567">
        <f t="shared" si="35"/>
        <v>3</v>
      </c>
      <c r="L55" s="567">
        <f t="shared" si="35"/>
        <v>3</v>
      </c>
      <c r="M55" s="567">
        <f t="shared" si="35"/>
        <v>3</v>
      </c>
      <c r="N55" s="569">
        <f t="shared" si="35"/>
        <v>3</v>
      </c>
      <c r="O55" s="666">
        <f t="shared" si="35"/>
        <v>3</v>
      </c>
      <c r="P55" s="567">
        <f t="shared" si="35"/>
        <v>3</v>
      </c>
      <c r="Q55" s="567">
        <f t="shared" si="35"/>
        <v>3</v>
      </c>
      <c r="R55" s="567">
        <f t="shared" si="35"/>
        <v>3</v>
      </c>
      <c r="S55" s="567">
        <f t="shared" si="35"/>
        <v>3</v>
      </c>
      <c r="T55" s="568">
        <f t="shared" si="35"/>
        <v>3</v>
      </c>
      <c r="U55" s="101">
        <f t="shared" si="35"/>
        <v>3</v>
      </c>
      <c r="W55" s="183"/>
      <c r="X55" s="183"/>
      <c r="Z55" s="149"/>
    </row>
    <row r="56" spans="1:50" s="10" customFormat="1" ht="12" x14ac:dyDescent="0.2">
      <c r="A56" s="562" t="str">
        <f>A89</f>
        <v>Aircrew Lower Limit</v>
      </c>
      <c r="B56" s="563">
        <f>ROUNDUP(IF(B$13="Deploy",MAX((B$77/100)*$B89,$B89),(B$77/100)*$B89),0)</f>
        <v>1</v>
      </c>
      <c r="C56" s="563">
        <f>ROUNDUP(IF(C$13="Deploy",MAX((C$77/100)*$B89,$B89),(C$77/100)*$B89),0)</f>
        <v>1</v>
      </c>
      <c r="D56" s="563">
        <f t="shared" ref="D56:L56" si="36">ROUND(IF(D$13="Deploy",MAX((D$77/100)*$B89,$B89),(D$77/100)*$B89),0)</f>
        <v>2</v>
      </c>
      <c r="E56" s="563">
        <f t="shared" si="36"/>
        <v>2</v>
      </c>
      <c r="F56" s="563">
        <f t="shared" si="36"/>
        <v>2</v>
      </c>
      <c r="G56" s="563">
        <f t="shared" si="36"/>
        <v>3</v>
      </c>
      <c r="H56" s="563">
        <f t="shared" si="36"/>
        <v>3</v>
      </c>
      <c r="I56" s="563">
        <f t="shared" si="36"/>
        <v>2</v>
      </c>
      <c r="J56" s="563">
        <f t="shared" si="36"/>
        <v>3</v>
      </c>
      <c r="K56" s="563">
        <f t="shared" si="36"/>
        <v>3</v>
      </c>
      <c r="L56" s="563">
        <f t="shared" si="36"/>
        <v>3</v>
      </c>
      <c r="M56" s="563">
        <f>ROUNDUP(IF(M$13="Deploy",MAX((M$77/100)*$B89,$B89),(M$77/100)*$B89),0)</f>
        <v>1</v>
      </c>
      <c r="N56" s="565">
        <f>ROUNDUP(IF(N$13="Deploy",MAX((N$77/100)*$B89,$B89),(N$77/100)*$B89),0)</f>
        <v>1</v>
      </c>
      <c r="O56" s="566">
        <f>ROUNDUP(IF(O$13="Deploy",MAX((O$77/100)*$B89,$B89),(O$77/100)*$B89),0)</f>
        <v>1</v>
      </c>
      <c r="P56" s="563">
        <f>ROUNDUP(IF(P$13="Deploy",MAX((P$77/100)*$B89,$B89),(P$77/100)*$B89),0)</f>
        <v>1</v>
      </c>
      <c r="Q56" s="563">
        <f t="shared" ref="Q56:U65" si="37">ROUND(IF(Q$13="Deploy",MAX((Q$77/100)*$B89,$B89),(Q$77/100)*$B89),0)</f>
        <v>2</v>
      </c>
      <c r="R56" s="563">
        <f t="shared" si="37"/>
        <v>2</v>
      </c>
      <c r="S56" s="563">
        <f t="shared" si="37"/>
        <v>2</v>
      </c>
      <c r="T56" s="564">
        <f t="shared" si="37"/>
        <v>2</v>
      </c>
      <c r="U56" s="100">
        <f t="shared" si="37"/>
        <v>1</v>
      </c>
      <c r="V56" s="65"/>
      <c r="W56" s="65"/>
      <c r="X56" s="65"/>
      <c r="Z56" s="149"/>
    </row>
    <row r="57" spans="1:50" s="10" customFormat="1" ht="12" x14ac:dyDescent="0.2">
      <c r="A57" s="562" t="s">
        <v>175</v>
      </c>
      <c r="B57" s="563">
        <f t="shared" ref="B57:C59" si="38">ROUND(IF(B$13="Deploy",MAX((B$77/100)*$B90,$B90),(B$77/100)*$B90),0)</f>
        <v>0</v>
      </c>
      <c r="C57" s="563">
        <f t="shared" si="38"/>
        <v>0</v>
      </c>
      <c r="D57" s="563">
        <f t="shared" ref="D57:L57" si="39">ROUND(IF(D$13="Deploy",MAX((D$77/100)*$B90,$B90),(D$77/100)*$B90),0)</f>
        <v>1</v>
      </c>
      <c r="E57" s="563">
        <f t="shared" si="39"/>
        <v>1</v>
      </c>
      <c r="F57" s="563">
        <f t="shared" si="39"/>
        <v>1</v>
      </c>
      <c r="G57" s="563">
        <f t="shared" si="39"/>
        <v>1</v>
      </c>
      <c r="H57" s="563">
        <f t="shared" si="39"/>
        <v>1</v>
      </c>
      <c r="I57" s="563">
        <f t="shared" si="39"/>
        <v>1</v>
      </c>
      <c r="J57" s="563">
        <f t="shared" si="39"/>
        <v>1</v>
      </c>
      <c r="K57" s="563">
        <f t="shared" si="39"/>
        <v>1</v>
      </c>
      <c r="L57" s="563">
        <f t="shared" si="39"/>
        <v>1</v>
      </c>
      <c r="M57" s="563">
        <f t="shared" ref="M57:P59" si="40">ROUND(IF(M$13="Deploy",MAX((M$77/100)*$B90,$B90),(M$77/100)*$B90),0)</f>
        <v>0</v>
      </c>
      <c r="N57" s="565">
        <f t="shared" si="40"/>
        <v>0</v>
      </c>
      <c r="O57" s="566">
        <f t="shared" si="40"/>
        <v>0</v>
      </c>
      <c r="P57" s="563">
        <f t="shared" si="40"/>
        <v>0</v>
      </c>
      <c r="Q57" s="563">
        <f t="shared" si="37"/>
        <v>1</v>
      </c>
      <c r="R57" s="563">
        <f t="shared" si="37"/>
        <v>1</v>
      </c>
      <c r="S57" s="563">
        <f t="shared" si="37"/>
        <v>1</v>
      </c>
      <c r="T57" s="564">
        <f t="shared" si="37"/>
        <v>1</v>
      </c>
      <c r="U57" s="100">
        <f t="shared" si="37"/>
        <v>0</v>
      </c>
      <c r="V57" s="65"/>
      <c r="W57" s="184"/>
      <c r="X57" s="184"/>
      <c r="Z57" s="149"/>
    </row>
    <row r="58" spans="1:50" s="10" customFormat="1" ht="12" x14ac:dyDescent="0.2">
      <c r="A58" s="562" t="s">
        <v>176</v>
      </c>
      <c r="B58" s="563">
        <f t="shared" si="38"/>
        <v>1</v>
      </c>
      <c r="C58" s="563">
        <f t="shared" si="38"/>
        <v>0</v>
      </c>
      <c r="D58" s="563">
        <f t="shared" ref="D58:L58" si="41">ROUND(IF(D$13="Deploy",MAX((D$77/100)*$B91,$B91),(D$77/100)*$B91),0)</f>
        <v>2</v>
      </c>
      <c r="E58" s="563">
        <f t="shared" si="41"/>
        <v>2</v>
      </c>
      <c r="F58" s="563">
        <f t="shared" si="41"/>
        <v>2</v>
      </c>
      <c r="G58" s="563">
        <f t="shared" si="41"/>
        <v>3</v>
      </c>
      <c r="H58" s="563">
        <f t="shared" si="41"/>
        <v>3</v>
      </c>
      <c r="I58" s="563">
        <f t="shared" si="41"/>
        <v>2</v>
      </c>
      <c r="J58" s="563">
        <f t="shared" si="41"/>
        <v>3</v>
      </c>
      <c r="K58" s="563">
        <f t="shared" si="41"/>
        <v>3</v>
      </c>
      <c r="L58" s="563">
        <f t="shared" si="41"/>
        <v>3</v>
      </c>
      <c r="M58" s="563">
        <f t="shared" si="40"/>
        <v>0</v>
      </c>
      <c r="N58" s="565">
        <f t="shared" si="40"/>
        <v>0</v>
      </c>
      <c r="O58" s="566">
        <f t="shared" si="40"/>
        <v>1</v>
      </c>
      <c r="P58" s="563">
        <f t="shared" si="40"/>
        <v>0</v>
      </c>
      <c r="Q58" s="563">
        <f t="shared" si="37"/>
        <v>2</v>
      </c>
      <c r="R58" s="563">
        <f t="shared" si="37"/>
        <v>2</v>
      </c>
      <c r="S58" s="563">
        <f t="shared" si="37"/>
        <v>2</v>
      </c>
      <c r="T58" s="564">
        <f t="shared" si="37"/>
        <v>2</v>
      </c>
      <c r="U58" s="100">
        <f t="shared" si="37"/>
        <v>1</v>
      </c>
      <c r="W58" s="183"/>
      <c r="X58" s="183"/>
    </row>
    <row r="59" spans="1:50" s="10" customFormat="1" ht="12" x14ac:dyDescent="0.2">
      <c r="A59" s="562" t="s">
        <v>177</v>
      </c>
      <c r="B59" s="563">
        <f t="shared" si="38"/>
        <v>1</v>
      </c>
      <c r="C59" s="563">
        <f t="shared" si="38"/>
        <v>0</v>
      </c>
      <c r="D59" s="563">
        <f t="shared" ref="D59:L59" si="42">ROUND(IF(D$13="Deploy",MAX((D$77/100)*$B92,$B92),(D$77/100)*$B92),0)</f>
        <v>4</v>
      </c>
      <c r="E59" s="563">
        <f t="shared" si="42"/>
        <v>4</v>
      </c>
      <c r="F59" s="563">
        <f t="shared" si="42"/>
        <v>5</v>
      </c>
      <c r="G59" s="563">
        <f t="shared" si="42"/>
        <v>6</v>
      </c>
      <c r="H59" s="563">
        <f t="shared" si="42"/>
        <v>6</v>
      </c>
      <c r="I59" s="563">
        <f t="shared" si="42"/>
        <v>5</v>
      </c>
      <c r="J59" s="563">
        <f t="shared" si="42"/>
        <v>6</v>
      </c>
      <c r="K59" s="563">
        <f t="shared" si="42"/>
        <v>6</v>
      </c>
      <c r="L59" s="563">
        <f t="shared" si="42"/>
        <v>6</v>
      </c>
      <c r="M59" s="563">
        <f t="shared" si="40"/>
        <v>0</v>
      </c>
      <c r="N59" s="565">
        <f t="shared" si="40"/>
        <v>0</v>
      </c>
      <c r="O59" s="566">
        <f t="shared" si="40"/>
        <v>1</v>
      </c>
      <c r="P59" s="563">
        <f t="shared" si="40"/>
        <v>0</v>
      </c>
      <c r="Q59" s="563">
        <f t="shared" si="37"/>
        <v>4</v>
      </c>
      <c r="R59" s="563">
        <f t="shared" si="37"/>
        <v>4</v>
      </c>
      <c r="S59" s="563">
        <f t="shared" si="37"/>
        <v>5</v>
      </c>
      <c r="T59" s="564">
        <f t="shared" si="37"/>
        <v>5</v>
      </c>
      <c r="U59" s="100">
        <f t="shared" si="37"/>
        <v>2</v>
      </c>
      <c r="W59" s="183"/>
      <c r="X59" s="183"/>
      <c r="Z59" s="149"/>
    </row>
    <row r="60" spans="1:50" s="10" customFormat="1" ht="12" x14ac:dyDescent="0.2">
      <c r="A60" s="562" t="s">
        <v>178</v>
      </c>
      <c r="B60" s="563">
        <f>ROUND(IF(B$13="Deploy",MAX((B$77/100)*$B93,$B93),(B$77/100)*$B93),0)</f>
        <v>1</v>
      </c>
      <c r="C60" s="563">
        <f>ROUNDUP(IF(C$13="Deploy",MAX((C$77/100)*$B93,$B93),(C$77/100)*$B93),0)</f>
        <v>1</v>
      </c>
      <c r="D60" s="563">
        <f t="shared" ref="D60:L60" si="43">ROUND(IF(D$13="Deploy",MAX((D$77/100)*$B93,$B93),(D$77/100)*$B93),0)</f>
        <v>4</v>
      </c>
      <c r="E60" s="563">
        <f t="shared" si="43"/>
        <v>4</v>
      </c>
      <c r="F60" s="563">
        <f t="shared" si="43"/>
        <v>5</v>
      </c>
      <c r="G60" s="563">
        <f t="shared" si="43"/>
        <v>6</v>
      </c>
      <c r="H60" s="563">
        <f t="shared" si="43"/>
        <v>6</v>
      </c>
      <c r="I60" s="563">
        <f t="shared" si="43"/>
        <v>5</v>
      </c>
      <c r="J60" s="563">
        <f t="shared" si="43"/>
        <v>6</v>
      </c>
      <c r="K60" s="563">
        <f t="shared" si="43"/>
        <v>6</v>
      </c>
      <c r="L60" s="563">
        <f t="shared" si="43"/>
        <v>6</v>
      </c>
      <c r="M60" s="563">
        <f>ROUNDUP(IF(M$13="Deploy",MAX((M$77/100)*$B93,$B93),(M$77/100)*$B93),0)</f>
        <v>1</v>
      </c>
      <c r="N60" s="565">
        <f>ROUNDUP(IF(N$13="Deploy",MAX((N$77/100)*$B93,$B93),(N$77/100)*$B93),0)</f>
        <v>1</v>
      </c>
      <c r="O60" s="566">
        <f>ROUND(IF(O$13="Deploy",MAX((O$77/100)*$B93,$B93),(O$77/100)*$B93),0)</f>
        <v>1</v>
      </c>
      <c r="P60" s="563">
        <f>ROUNDUP(IF(P$13="Deploy",MAX((P$77/100)*$B93,$B93),(P$77/100)*$B93),0)</f>
        <v>1</v>
      </c>
      <c r="Q60" s="563">
        <f t="shared" si="37"/>
        <v>4</v>
      </c>
      <c r="R60" s="563">
        <f t="shared" si="37"/>
        <v>4</v>
      </c>
      <c r="S60" s="563">
        <f t="shared" si="37"/>
        <v>5</v>
      </c>
      <c r="T60" s="564">
        <f t="shared" si="37"/>
        <v>5</v>
      </c>
      <c r="U60" s="100">
        <f t="shared" si="37"/>
        <v>2</v>
      </c>
      <c r="W60" s="183"/>
      <c r="X60" s="183"/>
      <c r="Z60" s="149"/>
    </row>
    <row r="61" spans="1:50" s="10" customFormat="1" ht="12" x14ac:dyDescent="0.2">
      <c r="A61" s="562" t="s">
        <v>179</v>
      </c>
      <c r="B61" s="563">
        <f>ROUND(IF(B$13="Deploy",MAX((B$77/100)*$B94,$B94),(B$77/100)*$B94),0)</f>
        <v>0</v>
      </c>
      <c r="C61" s="563">
        <f>ROUND(IF(C$13="Deploy",MAX((C$77/100)*$B94,$B94),(C$77/100)*$B94),0)</f>
        <v>0</v>
      </c>
      <c r="D61" s="563">
        <f t="shared" ref="D61:L61" si="44">ROUND(IF(D$13="Deploy",MAX((D$77/100)*$B94,$B94),(D$77/100)*$B94),0)</f>
        <v>1</v>
      </c>
      <c r="E61" s="563">
        <f t="shared" si="44"/>
        <v>1</v>
      </c>
      <c r="F61" s="563">
        <f t="shared" si="44"/>
        <v>1</v>
      </c>
      <c r="G61" s="563">
        <f t="shared" si="44"/>
        <v>1</v>
      </c>
      <c r="H61" s="563">
        <f t="shared" si="44"/>
        <v>1</v>
      </c>
      <c r="I61" s="563">
        <f t="shared" si="44"/>
        <v>1</v>
      </c>
      <c r="J61" s="563">
        <f t="shared" si="44"/>
        <v>1</v>
      </c>
      <c r="K61" s="563">
        <f t="shared" si="44"/>
        <v>1</v>
      </c>
      <c r="L61" s="563">
        <f t="shared" si="44"/>
        <v>1</v>
      </c>
      <c r="M61" s="563">
        <f>ROUND(IF(M$13="Deploy",MAX((M$77/100)*$B94,$B94),(M$77/100)*$B94),0)</f>
        <v>0</v>
      </c>
      <c r="N61" s="565">
        <f>ROUND(IF(N$13="Deploy",MAX((N$77/100)*$B94,$B94),(N$77/100)*$B94),0)</f>
        <v>0</v>
      </c>
      <c r="O61" s="566">
        <f>ROUND(IF(O$13="Deploy",MAX((O$77/100)*$B94,$B94),(O$77/100)*$B94),0)</f>
        <v>0</v>
      </c>
      <c r="P61" s="563">
        <f>ROUND(IF(P$13="Deploy",MAX((P$77/100)*$B94,$B94),(P$77/100)*$B94),0)</f>
        <v>0</v>
      </c>
      <c r="Q61" s="563">
        <f t="shared" si="37"/>
        <v>1</v>
      </c>
      <c r="R61" s="563">
        <f t="shared" si="37"/>
        <v>1</v>
      </c>
      <c r="S61" s="563">
        <f t="shared" si="37"/>
        <v>1</v>
      </c>
      <c r="T61" s="564">
        <f t="shared" si="37"/>
        <v>1</v>
      </c>
      <c r="U61" s="100">
        <f t="shared" si="37"/>
        <v>0</v>
      </c>
      <c r="W61" s="183"/>
      <c r="X61" s="183"/>
    </row>
    <row r="62" spans="1:50" s="10" customFormat="1" ht="12" x14ac:dyDescent="0.2">
      <c r="A62" s="562" t="s">
        <v>180</v>
      </c>
      <c r="B62" s="563">
        <f>ROUND(IF(B$13="Deploy",MAX((B$77/100)*$B95,$B95),(B$77/100)*$B95),0)</f>
        <v>1</v>
      </c>
      <c r="C62" s="563">
        <f>ROUND(IF(C$13="Deploy",MAX((C$77/100)*$B95,$B95),(C$77/100)*$B95),0)</f>
        <v>0</v>
      </c>
      <c r="D62" s="563">
        <f t="shared" ref="D62:L62" si="45">ROUND(IF(D$13="Deploy",MAX((D$77/100)*$B95,$B95),(D$77/100)*$B95),0)</f>
        <v>2</v>
      </c>
      <c r="E62" s="563">
        <f t="shared" si="45"/>
        <v>2</v>
      </c>
      <c r="F62" s="563">
        <f t="shared" si="45"/>
        <v>2</v>
      </c>
      <c r="G62" s="563">
        <f t="shared" si="45"/>
        <v>3</v>
      </c>
      <c r="H62" s="563">
        <f t="shared" si="45"/>
        <v>3</v>
      </c>
      <c r="I62" s="563">
        <f t="shared" si="45"/>
        <v>2</v>
      </c>
      <c r="J62" s="563">
        <f t="shared" si="45"/>
        <v>3</v>
      </c>
      <c r="K62" s="563">
        <f t="shared" si="45"/>
        <v>3</v>
      </c>
      <c r="L62" s="563">
        <f t="shared" si="45"/>
        <v>3</v>
      </c>
      <c r="M62" s="563">
        <f>ROUND(IF(M$13="Deploy",MAX((M$77/100)*$B95,$B95),(M$77/100)*$B95),0)</f>
        <v>0</v>
      </c>
      <c r="N62" s="565">
        <f>ROUND(IF(N$13="Deploy",MAX((N$77/100)*$B95,$B95),(N$77/100)*$B95),0)</f>
        <v>0</v>
      </c>
      <c r="O62" s="566">
        <f>ROUND(IF(O$13="Deploy",MAX((O$77/100)*$B95,$B95),(O$77/100)*$B95),0)</f>
        <v>1</v>
      </c>
      <c r="P62" s="563">
        <f>ROUND(IF(P$13="Deploy",MAX((P$77/100)*$B95,$B95),(P$77/100)*$B95),0)</f>
        <v>0</v>
      </c>
      <c r="Q62" s="563">
        <f t="shared" si="37"/>
        <v>2</v>
      </c>
      <c r="R62" s="563">
        <f t="shared" si="37"/>
        <v>2</v>
      </c>
      <c r="S62" s="563">
        <f t="shared" si="37"/>
        <v>2</v>
      </c>
      <c r="T62" s="564">
        <f t="shared" si="37"/>
        <v>2</v>
      </c>
      <c r="U62" s="100">
        <f t="shared" si="37"/>
        <v>1</v>
      </c>
      <c r="W62" s="183"/>
      <c r="X62" s="183"/>
    </row>
    <row r="63" spans="1:50" ht="12" x14ac:dyDescent="0.2">
      <c r="A63" s="562" t="s">
        <v>181</v>
      </c>
      <c r="B63" s="563">
        <f>ROUNDUP(IF(B$13="Deploy",MAX((B$77/100)*$B96,$B96),(B$77/100)*$B96),0)</f>
        <v>1</v>
      </c>
      <c r="C63" s="563">
        <f>ROUNDUP(IF(C$13="Deploy",MAX((C$77/100)*$B96,$B96),(C$77/100)*$B96),0)</f>
        <v>1</v>
      </c>
      <c r="D63" s="563">
        <f t="shared" ref="D63:L63" si="46">ROUND(IF(D$13="Deploy",MAX((D$77/100)*$B96,$B96),(D$77/100)*$B96),0)</f>
        <v>2</v>
      </c>
      <c r="E63" s="563">
        <f t="shared" si="46"/>
        <v>2</v>
      </c>
      <c r="F63" s="563">
        <f t="shared" si="46"/>
        <v>2</v>
      </c>
      <c r="G63" s="563">
        <f t="shared" si="46"/>
        <v>3</v>
      </c>
      <c r="H63" s="563">
        <f t="shared" si="46"/>
        <v>3</v>
      </c>
      <c r="I63" s="563">
        <f t="shared" si="46"/>
        <v>2</v>
      </c>
      <c r="J63" s="563">
        <f t="shared" si="46"/>
        <v>3</v>
      </c>
      <c r="K63" s="563">
        <f t="shared" si="46"/>
        <v>3</v>
      </c>
      <c r="L63" s="563">
        <f t="shared" si="46"/>
        <v>3</v>
      </c>
      <c r="M63" s="563">
        <f>ROUNDUP(IF(M$13="Deploy",MAX((M$77/100)*$B96,$B96),(M$77/100)*$B96),0)</f>
        <v>1</v>
      </c>
      <c r="N63" s="565">
        <f>ROUNDUP(IF(N$13="Deploy",MAX((N$77/100)*$B96,$B96),(N$77/100)*$B96),0)</f>
        <v>1</v>
      </c>
      <c r="O63" s="566">
        <f>ROUNDUP(IF(O$13="Deploy",MAX((O$77/100)*$B96,$B96),(O$77/100)*$B96),0)</f>
        <v>1</v>
      </c>
      <c r="P63" s="563">
        <f>ROUNDUP(IF(P$13="Deploy",MAX((P$77/100)*$B96,$B96),(P$77/100)*$B96),0)</f>
        <v>1</v>
      </c>
      <c r="Q63" s="563">
        <f t="shared" si="37"/>
        <v>2</v>
      </c>
      <c r="R63" s="563">
        <f t="shared" si="37"/>
        <v>2</v>
      </c>
      <c r="S63" s="563">
        <f t="shared" si="37"/>
        <v>2</v>
      </c>
      <c r="T63" s="564">
        <f t="shared" si="37"/>
        <v>2</v>
      </c>
      <c r="U63" s="100">
        <f t="shared" si="37"/>
        <v>1</v>
      </c>
      <c r="W63" s="182"/>
      <c r="X63" s="182"/>
    </row>
    <row r="64" spans="1:50" s="74" customFormat="1" ht="12" x14ac:dyDescent="0.2">
      <c r="A64" s="562" t="s">
        <v>211</v>
      </c>
      <c r="B64" s="563">
        <f>ROUND(IF(B$13="Deploy",MAX((B$77/100)*$B97,$B97),(B$77/100)*$B97),0)</f>
        <v>1</v>
      </c>
      <c r="C64" s="563">
        <f>ROUND(IF(C$13="Deploy",MAX((C$77/100)*$B97,$B97),(C$77/100)*$B97),0)</f>
        <v>0</v>
      </c>
      <c r="D64" s="563">
        <f t="shared" ref="D64:L64" si="47">ROUND(IF(D$13="Deploy",MAX((D$77/100)*$B97,$B97),(D$77/100)*$B97),0)</f>
        <v>2</v>
      </c>
      <c r="E64" s="563">
        <f t="shared" si="47"/>
        <v>2</v>
      </c>
      <c r="F64" s="563">
        <f t="shared" si="47"/>
        <v>2</v>
      </c>
      <c r="G64" s="563">
        <f t="shared" si="47"/>
        <v>3</v>
      </c>
      <c r="H64" s="563">
        <f t="shared" si="47"/>
        <v>3</v>
      </c>
      <c r="I64" s="563">
        <f t="shared" si="47"/>
        <v>2</v>
      </c>
      <c r="J64" s="563">
        <f t="shared" si="47"/>
        <v>3</v>
      </c>
      <c r="K64" s="563">
        <f t="shared" si="47"/>
        <v>3</v>
      </c>
      <c r="L64" s="563">
        <f t="shared" si="47"/>
        <v>3</v>
      </c>
      <c r="M64" s="563">
        <f t="shared" ref="M64:P65" si="48">ROUND(IF(M$13="Deploy",MAX((M$77/100)*$B97,$B97),(M$77/100)*$B97),0)</f>
        <v>0</v>
      </c>
      <c r="N64" s="565">
        <f t="shared" si="48"/>
        <v>0</v>
      </c>
      <c r="O64" s="566">
        <f t="shared" si="48"/>
        <v>1</v>
      </c>
      <c r="P64" s="563">
        <f t="shared" si="48"/>
        <v>0</v>
      </c>
      <c r="Q64" s="563">
        <f t="shared" si="37"/>
        <v>2</v>
      </c>
      <c r="R64" s="563">
        <f t="shared" si="37"/>
        <v>2</v>
      </c>
      <c r="S64" s="563">
        <f t="shared" si="37"/>
        <v>2</v>
      </c>
      <c r="T64" s="564">
        <f t="shared" si="37"/>
        <v>2</v>
      </c>
      <c r="U64" s="100">
        <f t="shared" si="37"/>
        <v>1</v>
      </c>
      <c r="AA64" s="168"/>
    </row>
    <row r="65" spans="1:27" s="74" customFormat="1" ht="12" x14ac:dyDescent="0.2">
      <c r="A65" s="562" t="str">
        <f>A98</f>
        <v>Required Skilled Crews</v>
      </c>
      <c r="B65" s="563">
        <f>ROUND(IF(B$13="Deploy",MAX((B$77/100)*$B98,$B98),(B$77/100)*$B98),0)</f>
        <v>1</v>
      </c>
      <c r="C65" s="563">
        <f>ROUND(IF(C$13="Deploy",MAX((C$77/100)*$B98,$B98),(C$77/100)*$B98),0)</f>
        <v>0</v>
      </c>
      <c r="D65" s="563">
        <f t="shared" ref="D65:L65" si="49">ROUND(IF(D$13="Deploy",MAX((D$77/100)*$B98,$B98),(D$77/100)*$B98),0)</f>
        <v>2</v>
      </c>
      <c r="E65" s="563">
        <f t="shared" si="49"/>
        <v>2</v>
      </c>
      <c r="F65" s="563">
        <f t="shared" si="49"/>
        <v>2</v>
      </c>
      <c r="G65" s="563">
        <f t="shared" si="49"/>
        <v>3</v>
      </c>
      <c r="H65" s="563">
        <f t="shared" si="49"/>
        <v>3</v>
      </c>
      <c r="I65" s="563">
        <f t="shared" si="49"/>
        <v>2</v>
      </c>
      <c r="J65" s="563">
        <f t="shared" si="49"/>
        <v>3</v>
      </c>
      <c r="K65" s="563">
        <f t="shared" si="49"/>
        <v>3</v>
      </c>
      <c r="L65" s="563">
        <f t="shared" si="49"/>
        <v>3</v>
      </c>
      <c r="M65" s="563">
        <f t="shared" si="48"/>
        <v>0</v>
      </c>
      <c r="N65" s="565">
        <f t="shared" si="48"/>
        <v>0</v>
      </c>
      <c r="O65" s="566">
        <f t="shared" si="48"/>
        <v>1</v>
      </c>
      <c r="P65" s="563">
        <f t="shared" si="48"/>
        <v>0</v>
      </c>
      <c r="Q65" s="563">
        <f t="shared" si="37"/>
        <v>2</v>
      </c>
      <c r="R65" s="563">
        <f t="shared" si="37"/>
        <v>2</v>
      </c>
      <c r="S65" s="563">
        <f t="shared" si="37"/>
        <v>2</v>
      </c>
      <c r="T65" s="564">
        <f t="shared" si="37"/>
        <v>2</v>
      </c>
      <c r="U65" s="100">
        <f t="shared" si="37"/>
        <v>1</v>
      </c>
      <c r="AA65" s="168"/>
    </row>
    <row r="66" spans="1:27" s="74" customFormat="1" ht="12" x14ac:dyDescent="0.2">
      <c r="O66" s="181"/>
      <c r="AA66" s="168"/>
    </row>
    <row r="67" spans="1:27" s="74" customFormat="1" ht="12" x14ac:dyDescent="0.2">
      <c r="B67" s="64"/>
      <c r="C67" s="64"/>
      <c r="O67" s="181"/>
    </row>
    <row r="68" spans="1:27" s="74" customFormat="1" ht="12" x14ac:dyDescent="0.2">
      <c r="B68" s="64"/>
      <c r="C68" s="64"/>
    </row>
    <row r="69" spans="1:27" s="74" customFormat="1" ht="12" x14ac:dyDescent="0.2">
      <c r="B69" s="64"/>
      <c r="C69" s="64"/>
    </row>
    <row r="70" spans="1:27" s="74" customFormat="1" ht="12" x14ac:dyDescent="0.2">
      <c r="B70" s="64"/>
      <c r="C70" s="64"/>
    </row>
    <row r="71" spans="1:27" s="74" customFormat="1" ht="12" x14ac:dyDescent="0.2">
      <c r="B71" s="64"/>
      <c r="C71" s="64"/>
    </row>
    <row r="72" spans="1:27" s="74" customFormat="1" ht="12" x14ac:dyDescent="0.2">
      <c r="B72" s="64"/>
      <c r="C72" s="64"/>
    </row>
    <row r="73" spans="1:27" s="74" customFormat="1" ht="12.75" thickBot="1" x14ac:dyDescent="0.25">
      <c r="AA73" s="168"/>
    </row>
    <row r="74" spans="1:27" s="74" customFormat="1" ht="13.5" customHeight="1" thickBot="1" x14ac:dyDescent="0.25">
      <c r="A74" s="717" t="s">
        <v>160</v>
      </c>
      <c r="B74" s="718"/>
      <c r="C74" s="718"/>
      <c r="D74" s="718"/>
      <c r="E74" s="718"/>
      <c r="F74" s="718"/>
      <c r="G74" s="718"/>
      <c r="H74" s="718"/>
      <c r="I74" s="718"/>
      <c r="J74" s="718"/>
      <c r="K74" s="718"/>
      <c r="L74" s="718"/>
      <c r="M74" s="718"/>
      <c r="N74" s="718"/>
      <c r="O74" s="718"/>
      <c r="P74" s="718"/>
      <c r="Q74" s="718"/>
      <c r="R74" s="718"/>
      <c r="S74" s="718"/>
      <c r="T74" s="718"/>
      <c r="U74" s="719"/>
      <c r="V74" s="180"/>
      <c r="AA74" s="168"/>
    </row>
    <row r="75" spans="1:27" s="74" customFormat="1" ht="12" x14ac:dyDescent="0.2">
      <c r="A75" s="179" t="s">
        <v>161</v>
      </c>
      <c r="B75" s="176">
        <f t="shared" ref="B75:U75" si="50">MIN(100,B77+$B$81)</f>
        <v>58.649540517948211</v>
      </c>
      <c r="C75" s="176">
        <f t="shared" si="50"/>
        <v>43.649540517948211</v>
      </c>
      <c r="D75" s="176">
        <f t="shared" si="50"/>
        <v>98.649540517948211</v>
      </c>
      <c r="E75" s="176">
        <f t="shared" si="50"/>
        <v>100</v>
      </c>
      <c r="F75" s="176">
        <f t="shared" si="50"/>
        <v>100</v>
      </c>
      <c r="G75" s="176">
        <f t="shared" si="50"/>
        <v>100</v>
      </c>
      <c r="H75" s="176">
        <f t="shared" si="50"/>
        <v>100</v>
      </c>
      <c r="I75" s="176">
        <f t="shared" si="50"/>
        <v>100</v>
      </c>
      <c r="J75" s="176">
        <f t="shared" si="50"/>
        <v>100</v>
      </c>
      <c r="K75" s="176">
        <f t="shared" si="50"/>
        <v>100</v>
      </c>
      <c r="L75" s="176">
        <f t="shared" si="50"/>
        <v>100</v>
      </c>
      <c r="M75" s="176">
        <f t="shared" si="50"/>
        <v>43.649540517948211</v>
      </c>
      <c r="N75" s="178">
        <f t="shared" si="50"/>
        <v>43.649540517948211</v>
      </c>
      <c r="O75" s="177">
        <f t="shared" si="50"/>
        <v>58.649540517948211</v>
      </c>
      <c r="P75" s="176">
        <f t="shared" si="50"/>
        <v>43.649540517948211</v>
      </c>
      <c r="Q75" s="176">
        <f t="shared" si="50"/>
        <v>98.649540517948211</v>
      </c>
      <c r="R75" s="176">
        <f t="shared" si="50"/>
        <v>100</v>
      </c>
      <c r="S75" s="176">
        <f t="shared" si="50"/>
        <v>100</v>
      </c>
      <c r="T75" s="175">
        <f t="shared" si="50"/>
        <v>100</v>
      </c>
      <c r="U75" s="174">
        <f t="shared" si="50"/>
        <v>66.649540517948211</v>
      </c>
      <c r="Z75" s="168"/>
    </row>
    <row r="76" spans="1:27" s="74" customFormat="1" ht="12" x14ac:dyDescent="0.2">
      <c r="A76" s="22" t="s">
        <v>162</v>
      </c>
      <c r="B76" s="582">
        <f t="shared" ref="B76:U76" si="51">MIN(100,B77+$B$82)</f>
        <v>39.324770258974105</v>
      </c>
      <c r="C76" s="582">
        <f t="shared" si="51"/>
        <v>24.324770258974105</v>
      </c>
      <c r="D76" s="582">
        <f t="shared" si="51"/>
        <v>79.324770258974098</v>
      </c>
      <c r="E76" s="582">
        <f t="shared" si="51"/>
        <v>89.324770258974098</v>
      </c>
      <c r="F76" s="582">
        <f t="shared" si="51"/>
        <v>99.324770258974098</v>
      </c>
      <c r="G76" s="582">
        <f t="shared" si="51"/>
        <v>100</v>
      </c>
      <c r="H76" s="582">
        <f t="shared" si="51"/>
        <v>100</v>
      </c>
      <c r="I76" s="582">
        <f t="shared" si="51"/>
        <v>99.324770258974098</v>
      </c>
      <c r="J76" s="582">
        <f t="shared" si="51"/>
        <v>100</v>
      </c>
      <c r="K76" s="582">
        <f t="shared" si="51"/>
        <v>100</v>
      </c>
      <c r="L76" s="582">
        <f t="shared" si="51"/>
        <v>100</v>
      </c>
      <c r="M76" s="582">
        <f t="shared" si="51"/>
        <v>24.324770258974105</v>
      </c>
      <c r="N76" s="629">
        <f t="shared" si="51"/>
        <v>24.324770258974105</v>
      </c>
      <c r="O76" s="172">
        <f t="shared" si="51"/>
        <v>39.324770258974105</v>
      </c>
      <c r="P76" s="582">
        <f t="shared" si="51"/>
        <v>24.324770258974105</v>
      </c>
      <c r="Q76" s="582">
        <f t="shared" si="51"/>
        <v>79.324770258974098</v>
      </c>
      <c r="R76" s="582">
        <f t="shared" si="51"/>
        <v>89.324770258974098</v>
      </c>
      <c r="S76" s="582">
        <f t="shared" si="51"/>
        <v>99.324770258974098</v>
      </c>
      <c r="T76" s="583">
        <f t="shared" si="51"/>
        <v>99.324770258974098</v>
      </c>
      <c r="U76" s="667">
        <f t="shared" si="51"/>
        <v>47.324770258974105</v>
      </c>
      <c r="Z76" s="168"/>
    </row>
    <row r="77" spans="1:27" s="74" customFormat="1" ht="12" x14ac:dyDescent="0.2">
      <c r="A77" s="22" t="s">
        <v>163</v>
      </c>
      <c r="B77" s="584">
        <v>20</v>
      </c>
      <c r="C77" s="584">
        <v>5</v>
      </c>
      <c r="D77" s="584">
        <v>60</v>
      </c>
      <c r="E77" s="584">
        <v>70</v>
      </c>
      <c r="F77" s="584">
        <v>80</v>
      </c>
      <c r="G77" s="584">
        <v>100</v>
      </c>
      <c r="H77" s="584">
        <v>100</v>
      </c>
      <c r="I77" s="584">
        <v>80</v>
      </c>
      <c r="J77" s="584">
        <v>100</v>
      </c>
      <c r="K77" s="584">
        <v>100</v>
      </c>
      <c r="L77" s="584">
        <v>100</v>
      </c>
      <c r="M77" s="584">
        <v>5</v>
      </c>
      <c r="N77" s="630">
        <v>5</v>
      </c>
      <c r="O77" s="173">
        <f>B77</f>
        <v>20</v>
      </c>
      <c r="P77" s="584">
        <f>C77</f>
        <v>5</v>
      </c>
      <c r="Q77" s="584">
        <f>D77</f>
        <v>60</v>
      </c>
      <c r="R77" s="584">
        <f>E77</f>
        <v>70</v>
      </c>
      <c r="S77" s="584">
        <f>F77</f>
        <v>80</v>
      </c>
      <c r="T77" s="585">
        <f>I77</f>
        <v>80</v>
      </c>
      <c r="U77" s="668">
        <v>28</v>
      </c>
      <c r="Z77" s="168"/>
    </row>
    <row r="78" spans="1:27" s="74" customFormat="1" ht="12" x14ac:dyDescent="0.2">
      <c r="A78" s="22" t="s">
        <v>164</v>
      </c>
      <c r="B78" s="582">
        <f t="shared" ref="B78:U78" si="52">MIN(80,IF(B13="Deploy",80,MAX(0,B77-$B$82)))</f>
        <v>0.67522974102589473</v>
      </c>
      <c r="C78" s="582">
        <f t="shared" si="52"/>
        <v>0</v>
      </c>
      <c r="D78" s="582">
        <f t="shared" si="52"/>
        <v>40.675229741025895</v>
      </c>
      <c r="E78" s="582">
        <f t="shared" si="52"/>
        <v>50.675229741025895</v>
      </c>
      <c r="F78" s="582">
        <f t="shared" si="52"/>
        <v>60.675229741025895</v>
      </c>
      <c r="G78" s="582">
        <f t="shared" si="52"/>
        <v>80</v>
      </c>
      <c r="H78" s="582">
        <f t="shared" si="52"/>
        <v>80</v>
      </c>
      <c r="I78" s="582">
        <f t="shared" si="52"/>
        <v>60.675229741025895</v>
      </c>
      <c r="J78" s="582">
        <f t="shared" si="52"/>
        <v>80</v>
      </c>
      <c r="K78" s="582">
        <f t="shared" si="52"/>
        <v>80</v>
      </c>
      <c r="L78" s="582">
        <f t="shared" si="52"/>
        <v>80</v>
      </c>
      <c r="M78" s="582">
        <f t="shared" si="52"/>
        <v>0</v>
      </c>
      <c r="N78" s="629">
        <f t="shared" si="52"/>
        <v>0</v>
      </c>
      <c r="O78" s="172">
        <f t="shared" si="52"/>
        <v>0.67522974102589473</v>
      </c>
      <c r="P78" s="582">
        <f t="shared" si="52"/>
        <v>0</v>
      </c>
      <c r="Q78" s="582">
        <f t="shared" si="52"/>
        <v>40.675229741025895</v>
      </c>
      <c r="R78" s="582">
        <f t="shared" si="52"/>
        <v>50.675229741025895</v>
      </c>
      <c r="S78" s="582">
        <f t="shared" si="52"/>
        <v>60.675229741025895</v>
      </c>
      <c r="T78" s="583">
        <f t="shared" si="52"/>
        <v>60.675229741025895</v>
      </c>
      <c r="U78" s="667">
        <f t="shared" si="52"/>
        <v>8.6752297410258947</v>
      </c>
      <c r="Z78" s="168"/>
    </row>
    <row r="79" spans="1:27" s="74" customFormat="1" ht="12.75" thickBot="1" x14ac:dyDescent="0.25">
      <c r="A79" s="23" t="s">
        <v>165</v>
      </c>
      <c r="B79" s="24">
        <f t="shared" ref="B79:U79" si="53">MIN(60,IF(B13="Deploy",60,MAX(0,B77-$B$81)))</f>
        <v>0</v>
      </c>
      <c r="C79" s="24">
        <f t="shared" si="53"/>
        <v>0</v>
      </c>
      <c r="D79" s="24">
        <f t="shared" si="53"/>
        <v>21.350459482051789</v>
      </c>
      <c r="E79" s="24">
        <f t="shared" si="53"/>
        <v>31.350459482051789</v>
      </c>
      <c r="F79" s="24">
        <f t="shared" si="53"/>
        <v>41.350459482051789</v>
      </c>
      <c r="G79" s="24">
        <f t="shared" si="53"/>
        <v>60</v>
      </c>
      <c r="H79" s="24">
        <f t="shared" si="53"/>
        <v>60</v>
      </c>
      <c r="I79" s="24">
        <f t="shared" si="53"/>
        <v>41.350459482051789</v>
      </c>
      <c r="J79" s="24">
        <f t="shared" si="53"/>
        <v>60</v>
      </c>
      <c r="K79" s="24">
        <f t="shared" si="53"/>
        <v>60</v>
      </c>
      <c r="L79" s="24">
        <f t="shared" si="53"/>
        <v>60</v>
      </c>
      <c r="M79" s="24">
        <f t="shared" si="53"/>
        <v>0</v>
      </c>
      <c r="N79" s="171">
        <f t="shared" si="53"/>
        <v>0</v>
      </c>
      <c r="O79" s="170">
        <f t="shared" si="53"/>
        <v>0</v>
      </c>
      <c r="P79" s="24">
        <f t="shared" si="53"/>
        <v>0</v>
      </c>
      <c r="Q79" s="24">
        <f t="shared" si="53"/>
        <v>21.350459482051789</v>
      </c>
      <c r="R79" s="24">
        <f t="shared" si="53"/>
        <v>31.350459482051789</v>
      </c>
      <c r="S79" s="24">
        <f t="shared" si="53"/>
        <v>41.350459482051789</v>
      </c>
      <c r="T79" s="25">
        <f t="shared" si="53"/>
        <v>41.350459482051789</v>
      </c>
      <c r="U79" s="169">
        <f t="shared" si="53"/>
        <v>0</v>
      </c>
      <c r="Z79" s="168"/>
    </row>
    <row r="80" spans="1:27" s="74" customFormat="1" ht="12.75" thickBot="1" x14ac:dyDescent="0.25">
      <c r="A80" s="264" t="s">
        <v>166</v>
      </c>
      <c r="B80" s="265" t="s">
        <v>203</v>
      </c>
      <c r="C80" s="265" t="s">
        <v>203</v>
      </c>
      <c r="D80" s="265" t="s">
        <v>203</v>
      </c>
      <c r="E80" s="265" t="s">
        <v>203</v>
      </c>
      <c r="F80" s="265" t="s">
        <v>203</v>
      </c>
      <c r="G80" s="265" t="s">
        <v>203</v>
      </c>
      <c r="H80" s="265" t="s">
        <v>203</v>
      </c>
      <c r="I80" s="265" t="s">
        <v>203</v>
      </c>
      <c r="J80" s="265" t="s">
        <v>203</v>
      </c>
      <c r="K80" s="265" t="s">
        <v>203</v>
      </c>
      <c r="L80" s="265" t="s">
        <v>203</v>
      </c>
      <c r="M80" s="265" t="s">
        <v>203</v>
      </c>
      <c r="N80" s="265" t="s">
        <v>203</v>
      </c>
      <c r="O80" s="265" t="s">
        <v>203</v>
      </c>
      <c r="P80" s="265" t="s">
        <v>203</v>
      </c>
      <c r="Q80" s="265" t="s">
        <v>203</v>
      </c>
      <c r="R80" s="265" t="s">
        <v>203</v>
      </c>
      <c r="S80" s="265" t="s">
        <v>203</v>
      </c>
      <c r="T80" s="265" t="s">
        <v>203</v>
      </c>
      <c r="U80" s="265" t="s">
        <v>203</v>
      </c>
      <c r="Z80" s="168"/>
    </row>
    <row r="81" spans="1:27" s="74" customFormat="1" ht="12" x14ac:dyDescent="0.2">
      <c r="A81" s="80" t="s">
        <v>167</v>
      </c>
      <c r="B81" s="81">
        <f t="array" ref="B81">SQRT(SUM(POWER(AVERAGE(B77:N77)-(B77:N77),2))/COUNT(B77:N77))*1</f>
        <v>38.649540517948211</v>
      </c>
      <c r="C81" s="15"/>
      <c r="D81" s="15"/>
      <c r="E81" s="15"/>
      <c r="F81" s="15"/>
      <c r="G81" s="15"/>
      <c r="H81" s="15"/>
      <c r="I81" s="15"/>
      <c r="J81" s="15"/>
      <c r="K81" s="15"/>
      <c r="L81" s="15"/>
      <c r="M81" s="15"/>
      <c r="N81" s="15"/>
      <c r="O81" s="15"/>
      <c r="P81" s="15"/>
      <c r="Q81" s="15"/>
      <c r="R81" s="15"/>
      <c r="S81" s="15"/>
      <c r="T81" s="15"/>
      <c r="U81" s="15"/>
      <c r="V81" s="15"/>
      <c r="AA81" s="168"/>
    </row>
    <row r="82" spans="1:27" s="74" customFormat="1" ht="12.75" thickBot="1" x14ac:dyDescent="0.25">
      <c r="A82" s="82" t="s">
        <v>168</v>
      </c>
      <c r="B82" s="83">
        <f>B81/2</f>
        <v>19.324770258974105</v>
      </c>
      <c r="C82" s="15"/>
      <c r="D82" s="15"/>
      <c r="E82" s="15"/>
      <c r="F82" s="15"/>
      <c r="G82" s="15"/>
      <c r="H82" s="15"/>
      <c r="I82" s="15"/>
      <c r="J82" s="15"/>
      <c r="K82" s="15"/>
      <c r="L82" s="15"/>
      <c r="M82" s="15"/>
      <c r="N82" s="15"/>
      <c r="O82" s="15"/>
      <c r="P82" s="15"/>
      <c r="Q82" s="15"/>
      <c r="R82" s="15"/>
      <c r="S82" s="15"/>
      <c r="T82" s="15"/>
      <c r="U82" s="15"/>
      <c r="V82" s="15"/>
      <c r="AA82" s="168"/>
    </row>
    <row r="83" spans="1:27" s="74" customFormat="1" ht="12.75" thickBot="1" x14ac:dyDescent="0.25">
      <c r="V83" s="33"/>
      <c r="AA83" s="168"/>
    </row>
    <row r="84" spans="1:27" s="74" customFormat="1" ht="12.75" thickBot="1" x14ac:dyDescent="0.25">
      <c r="A84" s="745" t="s">
        <v>169</v>
      </c>
      <c r="B84" s="746"/>
    </row>
    <row r="85" spans="1:27" s="74" customFormat="1" ht="12.75" thickBot="1" x14ac:dyDescent="0.25">
      <c r="A85" s="747" t="s">
        <v>170</v>
      </c>
      <c r="B85" s="748"/>
      <c r="E85" s="388"/>
      <c r="F85" s="388"/>
      <c r="G85" s="163"/>
      <c r="J85" s="389"/>
    </row>
    <row r="86" spans="1:27" s="15" customFormat="1" ht="12.75" thickTop="1" x14ac:dyDescent="0.2">
      <c r="A86" s="26" t="s">
        <v>171</v>
      </c>
      <c r="B86" s="27">
        <v>6</v>
      </c>
      <c r="E86" s="388"/>
      <c r="F86" s="390"/>
      <c r="J86" s="168"/>
      <c r="K86" s="74"/>
    </row>
    <row r="87" spans="1:27" s="15" customFormat="1" ht="12" x14ac:dyDescent="0.2">
      <c r="A87" s="31" t="s">
        <v>172</v>
      </c>
      <c r="B87" s="586">
        <v>6</v>
      </c>
      <c r="E87" s="388"/>
      <c r="F87" s="390"/>
      <c r="J87" s="168"/>
      <c r="K87" s="74"/>
    </row>
    <row r="88" spans="1:27" s="15" customFormat="1" ht="12" x14ac:dyDescent="0.2">
      <c r="A88" s="26" t="s">
        <v>173</v>
      </c>
      <c r="B88" s="166">
        <v>3</v>
      </c>
      <c r="J88" s="168"/>
      <c r="K88" s="74"/>
    </row>
    <row r="89" spans="1:27" s="15" customFormat="1" ht="12" x14ac:dyDescent="0.2">
      <c r="A89" s="31" t="s">
        <v>174</v>
      </c>
      <c r="B89" s="166">
        <v>3</v>
      </c>
      <c r="J89" s="64"/>
      <c r="K89" s="64"/>
    </row>
    <row r="90" spans="1:27" s="74" customFormat="1" ht="12" x14ac:dyDescent="0.2">
      <c r="A90" s="31" t="s">
        <v>175</v>
      </c>
      <c r="B90" s="27">
        <v>1</v>
      </c>
      <c r="E90" s="391"/>
      <c r="F90" s="392"/>
      <c r="G90" s="33"/>
      <c r="J90" s="389"/>
      <c r="K90" s="64"/>
    </row>
    <row r="91" spans="1:27" s="74" customFormat="1" ht="12" x14ac:dyDescent="0.2">
      <c r="A91" s="31" t="s">
        <v>176</v>
      </c>
      <c r="B91" s="586">
        <v>3</v>
      </c>
      <c r="E91" s="391"/>
      <c r="F91" s="392"/>
      <c r="G91" s="164"/>
      <c r="J91" s="389"/>
      <c r="K91" s="64"/>
    </row>
    <row r="92" spans="1:27" s="74" customFormat="1" ht="12" x14ac:dyDescent="0.2">
      <c r="A92" s="31" t="s">
        <v>177</v>
      </c>
      <c r="B92" s="587">
        <v>6</v>
      </c>
      <c r="E92" s="391"/>
      <c r="F92" s="392"/>
      <c r="G92" s="164"/>
      <c r="J92" s="64"/>
      <c r="K92" s="64"/>
    </row>
    <row r="93" spans="1:27" s="74" customFormat="1" ht="12" x14ac:dyDescent="0.2">
      <c r="A93" s="31" t="s">
        <v>178</v>
      </c>
      <c r="B93" s="587">
        <v>6</v>
      </c>
      <c r="E93" s="391"/>
      <c r="F93" s="392"/>
      <c r="G93" s="164"/>
      <c r="J93" s="389"/>
      <c r="K93" s="64"/>
    </row>
    <row r="94" spans="1:27" s="74" customFormat="1" ht="12" x14ac:dyDescent="0.2">
      <c r="A94" s="31" t="s">
        <v>179</v>
      </c>
      <c r="B94" s="587">
        <v>1</v>
      </c>
      <c r="E94" s="391"/>
      <c r="F94" s="392"/>
      <c r="G94" s="164"/>
      <c r="J94" s="389"/>
      <c r="K94" s="64"/>
    </row>
    <row r="95" spans="1:27" s="74" customFormat="1" ht="12" x14ac:dyDescent="0.2">
      <c r="A95" s="31" t="s">
        <v>180</v>
      </c>
      <c r="B95" s="587">
        <v>3</v>
      </c>
      <c r="E95" s="391"/>
      <c r="F95" s="392"/>
      <c r="G95" s="164"/>
      <c r="J95" s="389"/>
      <c r="K95" s="64"/>
    </row>
    <row r="96" spans="1:27" s="74" customFormat="1" ht="12" x14ac:dyDescent="0.2">
      <c r="A96" s="31" t="s">
        <v>181</v>
      </c>
      <c r="B96" s="587">
        <v>3</v>
      </c>
      <c r="E96" s="391"/>
      <c r="F96" s="392"/>
      <c r="G96" s="164"/>
      <c r="J96" s="389"/>
      <c r="K96" s="64"/>
    </row>
    <row r="97" spans="1:22" s="74" customFormat="1" ht="12" x14ac:dyDescent="0.2">
      <c r="A97" s="31" t="s">
        <v>182</v>
      </c>
      <c r="B97" s="587">
        <v>3</v>
      </c>
      <c r="E97" s="395"/>
      <c r="F97" s="396"/>
      <c r="G97" s="164"/>
      <c r="J97" s="168"/>
    </row>
    <row r="98" spans="1:22" s="74" customFormat="1" ht="12.75" thickBot="1" x14ac:dyDescent="0.25">
      <c r="A98" s="34" t="s">
        <v>183</v>
      </c>
      <c r="B98" s="35">
        <v>3</v>
      </c>
    </row>
    <row r="99" spans="1:22" s="74" customFormat="1" ht="12.75" thickBot="1" x14ac:dyDescent="0.25"/>
    <row r="100" spans="1:22" s="15" customFormat="1" ht="12.75" thickBot="1" x14ac:dyDescent="0.25">
      <c r="A100" s="745" t="s">
        <v>184</v>
      </c>
      <c r="B100" s="746"/>
    </row>
    <row r="101" spans="1:22" s="15" customFormat="1" ht="12" x14ac:dyDescent="0.2">
      <c r="A101" s="110" t="s">
        <v>185</v>
      </c>
      <c r="B101" s="111" t="s">
        <v>186</v>
      </c>
      <c r="C101" s="111" t="s">
        <v>186</v>
      </c>
      <c r="D101" s="111" t="s">
        <v>186</v>
      </c>
      <c r="E101" s="111" t="s">
        <v>186</v>
      </c>
      <c r="F101" s="111" t="s">
        <v>186</v>
      </c>
      <c r="G101" s="111"/>
      <c r="H101" s="111"/>
      <c r="I101" s="111" t="s">
        <v>186</v>
      </c>
      <c r="J101" s="111"/>
      <c r="K101" s="111"/>
      <c r="L101" s="111"/>
      <c r="M101" s="111" t="s">
        <v>186</v>
      </c>
      <c r="N101" s="111" t="s">
        <v>186</v>
      </c>
      <c r="O101" s="111"/>
      <c r="P101" s="111"/>
      <c r="Q101" s="111"/>
      <c r="R101" s="111"/>
      <c r="S101" s="111"/>
      <c r="T101" s="111"/>
      <c r="U101" s="113" t="s">
        <v>186</v>
      </c>
      <c r="V101" s="161"/>
    </row>
    <row r="102" spans="1:22" s="15" customFormat="1" ht="12.75" thickBot="1" x14ac:dyDescent="0.25">
      <c r="A102" s="82" t="s">
        <v>187</v>
      </c>
      <c r="B102" s="114"/>
      <c r="C102" s="114"/>
      <c r="D102" s="114"/>
      <c r="E102" s="114"/>
      <c r="F102" s="114"/>
      <c r="G102" s="114" t="s">
        <v>186</v>
      </c>
      <c r="H102" s="114" t="s">
        <v>186</v>
      </c>
      <c r="I102" s="114"/>
      <c r="J102" s="114" t="s">
        <v>186</v>
      </c>
      <c r="K102" s="114" t="s">
        <v>186</v>
      </c>
      <c r="L102" s="114" t="s">
        <v>186</v>
      </c>
      <c r="M102" s="114"/>
      <c r="N102" s="114"/>
      <c r="O102" s="114" t="s">
        <v>186</v>
      </c>
      <c r="P102" s="114" t="s">
        <v>186</v>
      </c>
      <c r="Q102" s="114" t="s">
        <v>186</v>
      </c>
      <c r="R102" s="114" t="s">
        <v>186</v>
      </c>
      <c r="S102" s="114" t="s">
        <v>186</v>
      </c>
      <c r="T102" s="114" t="s">
        <v>186</v>
      </c>
      <c r="U102" s="36"/>
      <c r="V102" s="161"/>
    </row>
    <row r="103" spans="1:22" ht="12" thickBot="1" x14ac:dyDescent="0.25"/>
    <row r="104" spans="1:22" ht="13.5" thickBot="1" x14ac:dyDescent="0.25">
      <c r="A104" s="377" t="s">
        <v>188</v>
      </c>
      <c r="B104" s="736" t="s">
        <v>189</v>
      </c>
      <c r="C104" s="737"/>
      <c r="D104" s="738" t="s">
        <v>190</v>
      </c>
      <c r="E104" s="739"/>
      <c r="F104" s="740" t="s">
        <v>191</v>
      </c>
      <c r="G104" s="741"/>
      <c r="I104" s="260" t="s">
        <v>192</v>
      </c>
    </row>
    <row r="105" spans="1:22" ht="12.75" x14ac:dyDescent="0.2">
      <c r="A105" s="378" t="s">
        <v>193</v>
      </c>
      <c r="B105" s="271"/>
      <c r="C105" s="272"/>
      <c r="D105" s="272"/>
      <c r="E105" s="272"/>
      <c r="F105" s="272"/>
      <c r="G105" s="273"/>
      <c r="I105" s="224" t="s">
        <v>44</v>
      </c>
    </row>
    <row r="106" spans="1:22" ht="12" x14ac:dyDescent="0.2">
      <c r="A106" s="379" t="s">
        <v>194</v>
      </c>
      <c r="B106" s="590">
        <v>2</v>
      </c>
      <c r="C106" s="590"/>
      <c r="D106" s="591">
        <v>1</v>
      </c>
      <c r="E106" s="591"/>
      <c r="F106" s="592"/>
      <c r="G106" s="593">
        <v>0</v>
      </c>
    </row>
    <row r="107" spans="1:22" ht="12" x14ac:dyDescent="0.2">
      <c r="A107" s="379" t="s">
        <v>195</v>
      </c>
      <c r="B107" s="594">
        <v>2</v>
      </c>
      <c r="C107" s="253"/>
      <c r="D107" s="595">
        <v>1</v>
      </c>
      <c r="E107" s="595"/>
      <c r="F107" s="596"/>
      <c r="G107" s="597">
        <v>0</v>
      </c>
    </row>
    <row r="108" spans="1:22" ht="12" x14ac:dyDescent="0.2">
      <c r="A108" s="380" t="str">
        <f t="shared" ref="A108:A118" si="54">A38</f>
        <v>Integrated Mission Systems</v>
      </c>
      <c r="B108" s="499"/>
      <c r="C108" s="598"/>
      <c r="D108" s="598"/>
      <c r="E108" s="598"/>
      <c r="F108" s="598"/>
      <c r="G108" s="599"/>
    </row>
    <row r="109" spans="1:22" ht="12" x14ac:dyDescent="0.2">
      <c r="A109" s="379" t="str">
        <f t="shared" si="54"/>
        <v>Ready MH-60R Command Control Communication Mission Systems (C)</v>
      </c>
      <c r="B109" s="233">
        <v>2</v>
      </c>
      <c r="C109" s="233"/>
      <c r="D109" s="235">
        <v>1</v>
      </c>
      <c r="E109" s="235"/>
      <c r="F109" s="236"/>
      <c r="G109" s="234">
        <v>0</v>
      </c>
    </row>
    <row r="110" spans="1:22" ht="12" x14ac:dyDescent="0.2">
      <c r="A110" s="379" t="str">
        <f t="shared" si="54"/>
        <v>Ready MH-60R Hawk Link Mission Systems (D)</v>
      </c>
      <c r="B110" s="590">
        <v>2</v>
      </c>
      <c r="C110" s="233"/>
      <c r="D110" s="591">
        <v>1</v>
      </c>
      <c r="E110" s="591"/>
      <c r="F110" s="592"/>
      <c r="G110" s="234">
        <v>0</v>
      </c>
    </row>
    <row r="111" spans="1:22" ht="12" x14ac:dyDescent="0.2">
      <c r="A111" s="379" t="str">
        <f t="shared" si="54"/>
        <v>Ready MH-60R ASUW Mission Systems (E)</v>
      </c>
      <c r="B111" s="590">
        <v>2</v>
      </c>
      <c r="C111" s="233"/>
      <c r="D111" s="591">
        <v>1</v>
      </c>
      <c r="E111" s="591"/>
      <c r="F111" s="592"/>
      <c r="G111" s="234">
        <v>0</v>
      </c>
    </row>
    <row r="112" spans="1:22" ht="12" x14ac:dyDescent="0.2">
      <c r="A112" s="379" t="str">
        <f t="shared" si="54"/>
        <v>Ready MH-60R ASW Mission Systems (F)</v>
      </c>
      <c r="B112" s="590">
        <v>2</v>
      </c>
      <c r="C112" s="233"/>
      <c r="D112" s="591">
        <v>1</v>
      </c>
      <c r="E112" s="591"/>
      <c r="F112" s="592"/>
      <c r="G112" s="234">
        <v>0</v>
      </c>
    </row>
    <row r="113" spans="1:7" ht="12" x14ac:dyDescent="0.2">
      <c r="A113" s="379" t="str">
        <f t="shared" si="54"/>
        <v>Ready MH-60R Ordnance Mission Systems (G)</v>
      </c>
      <c r="B113" s="590">
        <v>2</v>
      </c>
      <c r="C113" s="233"/>
      <c r="D113" s="591">
        <v>1</v>
      </c>
      <c r="E113" s="591"/>
      <c r="F113" s="592"/>
      <c r="G113" s="593">
        <v>0</v>
      </c>
    </row>
    <row r="114" spans="1:7" ht="12" x14ac:dyDescent="0.2">
      <c r="A114" s="379" t="str">
        <f t="shared" si="54"/>
        <v>Ready MH-60R Survivability Mission Systems (H)</v>
      </c>
      <c r="B114" s="594">
        <v>2</v>
      </c>
      <c r="C114" s="590"/>
      <c r="D114" s="595">
        <v>1</v>
      </c>
      <c r="E114" s="595"/>
      <c r="F114" s="596"/>
      <c r="G114" s="597">
        <v>0</v>
      </c>
    </row>
    <row r="115" spans="1:7" ht="12" x14ac:dyDescent="0.2">
      <c r="A115" s="379" t="str">
        <f t="shared" si="54"/>
        <v>Ready MH-60R Basic Mission Systems (I)</v>
      </c>
      <c r="B115" s="594">
        <v>2</v>
      </c>
      <c r="C115" s="590"/>
      <c r="D115" s="595">
        <v>1</v>
      </c>
      <c r="E115" s="595"/>
      <c r="F115" s="596"/>
      <c r="G115" s="597">
        <v>0</v>
      </c>
    </row>
    <row r="116" spans="1:7" ht="12" x14ac:dyDescent="0.2">
      <c r="A116" s="379" t="str">
        <f t="shared" si="54"/>
        <v>Ready MH-60R Extended Mobility Mission Systems (J)</v>
      </c>
      <c r="B116" s="594">
        <v>2</v>
      </c>
      <c r="C116" s="590"/>
      <c r="D116" s="595">
        <v>1</v>
      </c>
      <c r="E116" s="595"/>
      <c r="F116" s="596"/>
      <c r="G116" s="597">
        <v>0</v>
      </c>
    </row>
    <row r="117" spans="1:7" ht="12" x14ac:dyDescent="0.2">
      <c r="A117" s="379" t="str">
        <f t="shared" si="54"/>
        <v>Ready MH-60R Shipboard Mission Systems (K)</v>
      </c>
      <c r="B117" s="594">
        <v>2</v>
      </c>
      <c r="C117" s="590"/>
      <c r="D117" s="595">
        <v>1</v>
      </c>
      <c r="E117" s="595"/>
      <c r="F117" s="596"/>
      <c r="G117" s="597">
        <v>0</v>
      </c>
    </row>
    <row r="118" spans="1:7" ht="12" x14ac:dyDescent="0.2">
      <c r="A118" s="379" t="str">
        <f t="shared" si="54"/>
        <v>Ready MH-60R IMC Flight Mission Systems (L)</v>
      </c>
      <c r="B118" s="594">
        <v>2</v>
      </c>
      <c r="C118" s="590"/>
      <c r="D118" s="595">
        <v>1</v>
      </c>
      <c r="E118" s="595"/>
      <c r="F118" s="596"/>
      <c r="G118" s="597">
        <v>0</v>
      </c>
    </row>
    <row r="119" spans="1:7" ht="12" x14ac:dyDescent="0.2">
      <c r="A119" s="381" t="str">
        <f>A49</f>
        <v>Non-Integrated Mission Systems</v>
      </c>
      <c r="B119" s="499"/>
      <c r="C119" s="598"/>
      <c r="D119" s="598"/>
      <c r="E119" s="598"/>
      <c r="F119" s="598"/>
      <c r="G119" s="599"/>
    </row>
    <row r="120" spans="1:7" ht="12" x14ac:dyDescent="0.2">
      <c r="A120" s="379" t="str">
        <f>A50</f>
        <v>Assigned ALFS</v>
      </c>
      <c r="B120" s="233">
        <v>2</v>
      </c>
      <c r="C120" s="233"/>
      <c r="D120" s="235">
        <v>1</v>
      </c>
      <c r="E120" s="235"/>
      <c r="F120" s="236"/>
      <c r="G120" s="234">
        <v>0</v>
      </c>
    </row>
    <row r="121" spans="1:7" ht="12.75" thickBot="1" x14ac:dyDescent="0.25">
      <c r="A121" s="382" t="str">
        <f>A51</f>
        <v xml:space="preserve">Ready AFLS </v>
      </c>
      <c r="B121" s="274">
        <v>2</v>
      </c>
      <c r="C121" s="274"/>
      <c r="D121" s="231">
        <v>1</v>
      </c>
      <c r="E121" s="231"/>
      <c r="F121" s="232"/>
      <c r="G121" s="275">
        <v>0</v>
      </c>
    </row>
    <row r="122" spans="1:7" ht="12" x14ac:dyDescent="0.2">
      <c r="A122" s="15"/>
      <c r="B122" s="15"/>
      <c r="C122" s="15"/>
      <c r="D122" s="15"/>
      <c r="E122" s="15"/>
      <c r="F122" s="15"/>
      <c r="G122" s="15"/>
    </row>
    <row r="124" spans="1:7" x14ac:dyDescent="0.2">
      <c r="A124" s="383" t="s">
        <v>196</v>
      </c>
      <c r="B124" s="383" t="s">
        <v>215</v>
      </c>
    </row>
    <row r="125" spans="1:7" ht="12" x14ac:dyDescent="0.2">
      <c r="A125" s="600" t="s">
        <v>198</v>
      </c>
      <c r="B125" s="601">
        <f>HLOOKUP($B$124,'MH-60R Mission System Summary'!$B$1:$F$12,2,FALSE)</f>
        <v>0.84853598425893939</v>
      </c>
    </row>
    <row r="126" spans="1:7" ht="12" x14ac:dyDescent="0.2">
      <c r="A126" s="600" t="s">
        <v>142</v>
      </c>
      <c r="B126" s="601">
        <f>HLOOKUP($B$124,'MH-60R Mission System Summary'!$B$1:$F$12,3,FALSE)</f>
        <v>0.6883040568262192</v>
      </c>
    </row>
    <row r="127" spans="1:7" ht="12" x14ac:dyDescent="0.2">
      <c r="A127" s="600" t="s">
        <v>143</v>
      </c>
      <c r="B127" s="601">
        <f>HLOOKUP($B$124,'MH-60R Mission System Summary'!$B$1:$F$12,4,FALSE)</f>
        <v>0.52404871580322154</v>
      </c>
    </row>
    <row r="128" spans="1:7" ht="12" x14ac:dyDescent="0.2">
      <c r="A128" s="600" t="s">
        <v>144</v>
      </c>
      <c r="B128" s="601">
        <f>HLOOKUP($B$124,'MH-60R Mission System Summary'!$B$1:$F$12,5,FALSE)</f>
        <v>0.52357122934675926</v>
      </c>
    </row>
    <row r="129" spans="1:2" ht="12" x14ac:dyDescent="0.2">
      <c r="A129" s="600" t="s">
        <v>145</v>
      </c>
      <c r="B129" s="601">
        <f>HLOOKUP($B$124,'MH-60R Mission System Summary'!$B$1:$F$12,6,FALSE)</f>
        <v>0.36138499630176463</v>
      </c>
    </row>
    <row r="130" spans="1:2" ht="12" x14ac:dyDescent="0.2">
      <c r="A130" s="600" t="s">
        <v>146</v>
      </c>
      <c r="B130" s="601">
        <f>HLOOKUP($B$124,'MH-60R Mission System Summary'!$B$1:$F$12,7,FALSE)</f>
        <v>0.45211894134322572</v>
      </c>
    </row>
    <row r="131" spans="1:2" ht="12" x14ac:dyDescent="0.2">
      <c r="A131" s="600" t="s">
        <v>147</v>
      </c>
      <c r="B131" s="601">
        <f>HLOOKUP($B$124,'MH-60R Mission System Summary'!$B$1:$F$12,8,FALSE)</f>
        <v>0.25768352433743513</v>
      </c>
    </row>
    <row r="132" spans="1:2" ht="12" x14ac:dyDescent="0.2">
      <c r="A132" s="600" t="s">
        <v>148</v>
      </c>
      <c r="B132" s="601">
        <f>HLOOKUP($B$124,'MH-60R Mission System Summary'!$B$1:$F$12,9,FALSE)</f>
        <v>0.85730389595059886</v>
      </c>
    </row>
    <row r="133" spans="1:2" ht="12" x14ac:dyDescent="0.2">
      <c r="A133" s="600" t="s">
        <v>149</v>
      </c>
      <c r="B133" s="601">
        <f>HLOOKUP($B$124,'MH-60R Mission System Summary'!$B$1:$F$12,10,FALSE)</f>
        <v>0.33273571372135774</v>
      </c>
    </row>
    <row r="134" spans="1:2" ht="12" x14ac:dyDescent="0.2">
      <c r="A134" s="600" t="s">
        <v>150</v>
      </c>
      <c r="B134" s="601">
        <f>HLOOKUP($B$124,'MH-60R Mission System Summary'!$B$1:$F$12,11,FALSE)</f>
        <v>0.17707512891467975</v>
      </c>
    </row>
    <row r="135" spans="1:2" ht="12" x14ac:dyDescent="0.2">
      <c r="A135" s="600" t="s">
        <v>151</v>
      </c>
      <c r="B135" s="601">
        <f>HLOOKUP($B$124,'MH-60R Mission System Summary'!$B$1:$F$12,12,FALSE)</f>
        <v>1</v>
      </c>
    </row>
  </sheetData>
  <mergeCells count="22">
    <mergeCell ref="A84:B84"/>
    <mergeCell ref="C16:D16"/>
    <mergeCell ref="G16:H16"/>
    <mergeCell ref="J16:L16"/>
    <mergeCell ref="M16:N16"/>
    <mergeCell ref="A74:U74"/>
    <mergeCell ref="B104:C104"/>
    <mergeCell ref="D104:E104"/>
    <mergeCell ref="F104:G104"/>
    <mergeCell ref="A85:B85"/>
    <mergeCell ref="A100:B100"/>
    <mergeCell ref="A1:F1"/>
    <mergeCell ref="L2:O2"/>
    <mergeCell ref="L8:N8"/>
    <mergeCell ref="O12:T12"/>
    <mergeCell ref="M1:P1"/>
    <mergeCell ref="L3:N3"/>
    <mergeCell ref="L4:N4"/>
    <mergeCell ref="L5:N5"/>
    <mergeCell ref="L6:N6"/>
    <mergeCell ref="L7:N7"/>
    <mergeCell ref="L9:N9"/>
  </mergeCells>
  <conditionalFormatting sqref="B35:U35">
    <cfRule type="cellIs" dxfId="80" priority="59" stopIfTrue="1" operator="equal">
      <formula>$B$2*#REF!</formula>
    </cfRule>
  </conditionalFormatting>
  <conditionalFormatting sqref="C106:C115 C119:C121">
    <cfRule type="cellIs" dxfId="79" priority="26" operator="equal">
      <formula>B106</formula>
    </cfRule>
  </conditionalFormatting>
  <conditionalFormatting sqref="D106:E115 D119:E121">
    <cfRule type="cellIs" dxfId="78" priority="25" operator="equal">
      <formula>C106</formula>
    </cfRule>
  </conditionalFormatting>
  <conditionalFormatting sqref="E106">
    <cfRule type="cellIs" dxfId="77" priority="24" operator="equal">
      <formula>D106</formula>
    </cfRule>
  </conditionalFormatting>
  <conditionalFormatting sqref="F106">
    <cfRule type="cellIs" dxfId="76" priority="23" operator="equal">
      <formula>E106</formula>
    </cfRule>
  </conditionalFormatting>
  <conditionalFormatting sqref="F107:F115 F119:F121">
    <cfRule type="cellIs" dxfId="75" priority="21" operator="equal">
      <formula>G107</formula>
    </cfRule>
    <cfRule type="cellIs" dxfId="74" priority="22" operator="equal">
      <formula>E107</formula>
    </cfRule>
  </conditionalFormatting>
  <conditionalFormatting sqref="C106:C115">
    <cfRule type="cellIs" dxfId="73" priority="20" operator="equal">
      <formula>B106</formula>
    </cfRule>
  </conditionalFormatting>
  <conditionalFormatting sqref="D106:E115">
    <cfRule type="cellIs" dxfId="72" priority="19" operator="equal">
      <formula>C106</formula>
    </cfRule>
  </conditionalFormatting>
  <conditionalFormatting sqref="E106">
    <cfRule type="cellIs" dxfId="71" priority="18" operator="equal">
      <formula>D106</formula>
    </cfRule>
  </conditionalFormatting>
  <conditionalFormatting sqref="F106">
    <cfRule type="cellIs" dxfId="70" priority="17" operator="equal">
      <formula>E106</formula>
    </cfRule>
  </conditionalFormatting>
  <conditionalFormatting sqref="F107:F115">
    <cfRule type="cellIs" dxfId="69" priority="15" operator="equal">
      <formula>G107</formula>
    </cfRule>
    <cfRule type="cellIs" dxfId="68" priority="16" operator="equal">
      <formula>E107</formula>
    </cfRule>
  </conditionalFormatting>
  <conditionalFormatting sqref="F106">
    <cfRule type="cellIs" dxfId="67" priority="14" operator="equal">
      <formula>E106</formula>
    </cfRule>
  </conditionalFormatting>
  <conditionalFormatting sqref="C106">
    <cfRule type="cellIs" dxfId="66" priority="13" operator="equal">
      <formula>B106</formula>
    </cfRule>
  </conditionalFormatting>
  <conditionalFormatting sqref="D106">
    <cfRule type="cellIs" dxfId="65" priority="12" operator="equal">
      <formula>C106</formula>
    </cfRule>
  </conditionalFormatting>
  <conditionalFormatting sqref="E106">
    <cfRule type="cellIs" dxfId="64" priority="11" operator="equal">
      <formula>D106</formula>
    </cfRule>
  </conditionalFormatting>
  <conditionalFormatting sqref="D106">
    <cfRule type="cellIs" dxfId="63" priority="10" operator="equal">
      <formula>C106</formula>
    </cfRule>
  </conditionalFormatting>
  <conditionalFormatting sqref="E106">
    <cfRule type="cellIs" dxfId="62" priority="9" operator="equal">
      <formula>D106</formula>
    </cfRule>
  </conditionalFormatting>
  <conditionalFormatting sqref="C116:C118">
    <cfRule type="cellIs" dxfId="61" priority="8" operator="equal">
      <formula>B116</formula>
    </cfRule>
  </conditionalFormatting>
  <conditionalFormatting sqref="D116:E118">
    <cfRule type="cellIs" dxfId="60" priority="7" operator="equal">
      <formula>C116</formula>
    </cfRule>
  </conditionalFormatting>
  <conditionalFormatting sqref="F116:F118">
    <cfRule type="cellIs" dxfId="59" priority="5" operator="equal">
      <formula>G116</formula>
    </cfRule>
    <cfRule type="cellIs" dxfId="58" priority="6" operator="equal">
      <formula>E116</formula>
    </cfRule>
  </conditionalFormatting>
  <conditionalFormatting sqref="C116:C118">
    <cfRule type="cellIs" dxfId="57" priority="4" operator="equal">
      <formula>B116</formula>
    </cfRule>
  </conditionalFormatting>
  <conditionalFormatting sqref="D116:E118">
    <cfRule type="cellIs" dxfId="56" priority="3" operator="equal">
      <formula>C116</formula>
    </cfRule>
  </conditionalFormatting>
  <conditionalFormatting sqref="F116:F118">
    <cfRule type="cellIs" dxfId="55" priority="1" operator="equal">
      <formula>G116</formula>
    </cfRule>
    <cfRule type="cellIs" dxfId="54" priority="2" operator="equal">
      <formula>E116</formula>
    </cfRule>
  </conditionalFormatting>
  <hyperlinks>
    <hyperlink ref="H1" location="Inventory!A1" display="Inventory" xr:uid="{00000000-0004-0000-0600-000000000000}"/>
    <hyperlink ref="I104" location="'MH-60R FDNF 2 plane-3 crew DRRS'!A1" display="Top" xr:uid="{00000000-0004-0000-0600-000001000000}"/>
    <hyperlink ref="H2" location="'MH-60R FDNF 2 plane-3 crew DRRS'!A118" display="AMFOM" xr:uid="{00000000-0004-0000-0600-000002000000}"/>
    <hyperlink ref="I105" location="Inventory!A1" display="Inventory" xr:uid="{00000000-0004-0000-0600-000003000000}"/>
  </hyperlinks>
  <printOptions horizontalCentered="1" verticalCentered="1"/>
  <pageMargins left="0.2" right="0.2" top="1" bottom="1" header="0.5" footer="0.5"/>
  <pageSetup scale="29" orientation="landscape" r:id="rId1"/>
  <headerFooter alignWithMargins="0">
    <oddHeader>&amp;A</oddHeader>
  </headerFooter>
  <ignoredErrors>
    <ignoredError sqref="C54:U60 B63:P63"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Q135"/>
  <sheetViews>
    <sheetView showGridLines="0" zoomScaleNormal="100" zoomScaleSheetLayoutView="100" workbookViewId="0">
      <selection activeCell="H1" sqref="H1"/>
    </sheetView>
  </sheetViews>
  <sheetFormatPr defaultRowHeight="12" x14ac:dyDescent="0.2"/>
  <cols>
    <col min="1" max="1" width="55" style="15" bestFit="1" customWidth="1"/>
    <col min="2" max="29" width="5.7109375" style="15" customWidth="1"/>
    <col min="30" max="30" width="6.28515625" style="15" bestFit="1" customWidth="1"/>
    <col min="31" max="43" width="5.7109375" style="15" customWidth="1"/>
    <col min="44" max="16384" width="9.140625" style="15"/>
  </cols>
  <sheetData>
    <row r="1" spans="1:43" s="138" customFormat="1" ht="18.75" x14ac:dyDescent="0.3">
      <c r="A1" s="720" t="s">
        <v>216</v>
      </c>
      <c r="B1" s="720"/>
      <c r="C1" s="720"/>
      <c r="D1" s="720"/>
      <c r="E1" s="720"/>
      <c r="F1" s="720"/>
      <c r="G1" s="720"/>
      <c r="H1" s="144" t="s">
        <v>44</v>
      </c>
      <c r="K1" s="139"/>
      <c r="L1" s="145" t="s">
        <v>45</v>
      </c>
      <c r="M1" s="728">
        <v>44835</v>
      </c>
      <c r="N1" s="729"/>
      <c r="O1" s="730"/>
      <c r="P1" s="730"/>
      <c r="Q1" s="720"/>
      <c r="R1" s="720"/>
      <c r="S1" s="720"/>
      <c r="T1" s="720"/>
      <c r="U1" s="720"/>
      <c r="V1" s="720"/>
      <c r="W1" s="720"/>
      <c r="AC1" s="368" t="s">
        <v>46</v>
      </c>
      <c r="AD1" s="773">
        <v>6.06</v>
      </c>
      <c r="AE1" s="773"/>
      <c r="AQ1" s="116"/>
    </row>
    <row r="2" spans="1:43" s="5" customFormat="1" ht="12.75" x14ac:dyDescent="0.2">
      <c r="A2" s="1" t="s">
        <v>47</v>
      </c>
      <c r="B2" s="2">
        <v>1</v>
      </c>
      <c r="C2" s="3"/>
      <c r="D2" s="4"/>
      <c r="H2" s="323" t="s">
        <v>3</v>
      </c>
      <c r="L2" s="742" t="s">
        <v>48</v>
      </c>
      <c r="M2" s="743"/>
      <c r="N2" s="743"/>
      <c r="O2" s="744"/>
      <c r="T2" s="43"/>
      <c r="U2" s="44"/>
      <c r="V2" s="44"/>
      <c r="W2" s="44"/>
      <c r="X2" s="7"/>
      <c r="Y2" s="7"/>
      <c r="Z2" s="7"/>
      <c r="AA2" s="7"/>
      <c r="AB2" s="7"/>
      <c r="AQ2" s="67"/>
    </row>
    <row r="3" spans="1:43" s="5" customFormat="1" ht="11.25" x14ac:dyDescent="0.2">
      <c r="A3" s="1" t="s">
        <v>49</v>
      </c>
      <c r="B3" s="2">
        <f>B4/B2</f>
        <v>2</v>
      </c>
      <c r="C3" s="3"/>
      <c r="D3" s="4"/>
      <c r="E3" s="1"/>
      <c r="F3" s="4"/>
      <c r="L3" s="677" t="s">
        <v>50</v>
      </c>
      <c r="M3" s="678"/>
      <c r="N3" s="679"/>
      <c r="O3" s="486">
        <v>0.2</v>
      </c>
      <c r="T3" s="44"/>
      <c r="U3" s="754"/>
      <c r="V3" s="754"/>
      <c r="W3" s="754"/>
      <c r="X3" s="7"/>
      <c r="Y3" s="7"/>
      <c r="Z3" s="7"/>
      <c r="AA3" s="7"/>
      <c r="AB3" s="7"/>
      <c r="AQ3" s="67"/>
    </row>
    <row r="4" spans="1:43" s="5" customFormat="1" ht="11.25" x14ac:dyDescent="0.2">
      <c r="A4" s="1" t="s">
        <v>51</v>
      </c>
      <c r="B4" s="2">
        <v>2</v>
      </c>
      <c r="C4" s="3"/>
      <c r="D4" s="4"/>
      <c r="E4" s="1"/>
      <c r="F4" s="4"/>
      <c r="G4" s="7"/>
      <c r="H4" s="7"/>
      <c r="L4" s="721" t="s">
        <v>52</v>
      </c>
      <c r="M4" s="722"/>
      <c r="N4" s="723"/>
      <c r="O4" s="486">
        <v>0.4</v>
      </c>
      <c r="T4" s="43"/>
      <c r="U4" s="43"/>
      <c r="V4" s="46"/>
      <c r="W4" s="46"/>
      <c r="X4" s="7"/>
      <c r="Y4" s="7"/>
      <c r="Z4" s="7"/>
      <c r="AA4" s="7"/>
      <c r="AB4" s="7"/>
      <c r="AQ4" s="67"/>
    </row>
    <row r="5" spans="1:43" s="5" customFormat="1" ht="11.25" x14ac:dyDescent="0.2">
      <c r="A5" s="1" t="s">
        <v>53</v>
      </c>
      <c r="B5" s="3">
        <v>2</v>
      </c>
      <c r="C5" s="8"/>
      <c r="D5" s="4"/>
      <c r="E5" s="1"/>
      <c r="F5" s="4"/>
      <c r="G5" s="7"/>
      <c r="H5" s="7"/>
      <c r="L5" s="750" t="s">
        <v>54</v>
      </c>
      <c r="M5" s="750"/>
      <c r="N5" s="750"/>
      <c r="O5" s="680">
        <v>0.55000000000000004</v>
      </c>
      <c r="T5" s="43"/>
      <c r="U5" s="43"/>
      <c r="V5" s="46"/>
      <c r="W5" s="46"/>
      <c r="X5" s="7"/>
      <c r="Y5" s="7"/>
      <c r="Z5" s="7"/>
      <c r="AA5" s="7"/>
      <c r="AB5" s="7"/>
      <c r="AQ5" s="67"/>
    </row>
    <row r="6" spans="1:43" s="5" customFormat="1" ht="11.25" x14ac:dyDescent="0.2">
      <c r="A6" s="9" t="s">
        <v>55</v>
      </c>
      <c r="B6" s="38">
        <v>27.4</v>
      </c>
      <c r="C6" s="8"/>
      <c r="D6" s="4"/>
      <c r="E6" s="9"/>
      <c r="F6" s="4"/>
      <c r="G6" s="7"/>
      <c r="H6" s="7"/>
      <c r="L6" s="721" t="s">
        <v>56</v>
      </c>
      <c r="M6" s="722"/>
      <c r="N6" s="723"/>
      <c r="O6" s="486">
        <v>0.55000000000000004</v>
      </c>
      <c r="T6" s="48"/>
      <c r="U6" s="49"/>
      <c r="V6" s="48"/>
      <c r="W6" s="48"/>
      <c r="X6" s="7"/>
      <c r="Y6" s="7"/>
      <c r="Z6" s="7"/>
      <c r="AA6" s="7"/>
      <c r="AB6" s="7"/>
      <c r="AQ6" s="67"/>
    </row>
    <row r="7" spans="1:43" s="5" customFormat="1" ht="11.25" x14ac:dyDescent="0.2">
      <c r="A7" s="1" t="s">
        <v>57</v>
      </c>
      <c r="B7" s="37">
        <f>B6*B4</f>
        <v>54.8</v>
      </c>
      <c r="C7" s="10"/>
      <c r="D7" s="11"/>
      <c r="E7" s="1"/>
      <c r="F7" s="4"/>
      <c r="G7" s="7"/>
      <c r="H7" s="7"/>
      <c r="L7" s="751" t="s">
        <v>58</v>
      </c>
      <c r="M7" s="752"/>
      <c r="N7" s="753"/>
      <c r="O7" s="486">
        <v>0.6</v>
      </c>
      <c r="T7" s="46"/>
      <c r="U7" s="43"/>
      <c r="V7" s="43"/>
      <c r="W7" s="46"/>
      <c r="X7" s="7"/>
      <c r="Y7" s="7"/>
      <c r="Z7" s="7"/>
      <c r="AA7" s="7"/>
      <c r="AB7" s="7"/>
      <c r="AQ7" s="67"/>
    </row>
    <row r="8" spans="1:43" s="5" customFormat="1" ht="11.25" x14ac:dyDescent="0.2">
      <c r="A8" s="1" t="s">
        <v>59</v>
      </c>
      <c r="B8" s="38">
        <f>B7/B5</f>
        <v>27.4</v>
      </c>
      <c r="C8" s="38">
        <f>B8/B4</f>
        <v>13.7</v>
      </c>
      <c r="D8" s="11" t="s">
        <v>60</v>
      </c>
      <c r="E8" s="1"/>
      <c r="F8" s="4"/>
      <c r="G8" s="7"/>
      <c r="H8" s="7"/>
      <c r="L8" s="677" t="s">
        <v>61</v>
      </c>
      <c r="M8" s="678"/>
      <c r="N8" s="679"/>
      <c r="O8" s="486">
        <v>0.75</v>
      </c>
      <c r="T8" s="46"/>
      <c r="U8" s="45"/>
      <c r="V8" s="43"/>
      <c r="W8" s="43"/>
      <c r="X8" s="7"/>
      <c r="Y8" s="7"/>
      <c r="Z8" s="7"/>
      <c r="AA8" s="7"/>
      <c r="AB8" s="7"/>
      <c r="AQ8" s="67"/>
    </row>
    <row r="9" spans="1:43" s="5" customFormat="1" ht="11.25" x14ac:dyDescent="0.2">
      <c r="A9" s="1" t="s">
        <v>62</v>
      </c>
      <c r="B9" s="38">
        <f>C9*$B$4</f>
        <v>2</v>
      </c>
      <c r="C9" s="3">
        <v>1</v>
      </c>
      <c r="D9" s="5" t="s">
        <v>60</v>
      </c>
      <c r="E9" s="1"/>
      <c r="F9" s="4"/>
      <c r="G9" s="102" t="s">
        <v>63</v>
      </c>
      <c r="H9" s="103">
        <v>0.4</v>
      </c>
      <c r="I9" s="7"/>
      <c r="J9" s="7"/>
      <c r="K9" s="7"/>
      <c r="L9" s="754" t="s">
        <v>64</v>
      </c>
      <c r="M9" s="754"/>
      <c r="N9" s="754"/>
      <c r="O9" s="7"/>
      <c r="P9" s="7"/>
      <c r="Q9" s="42"/>
      <c r="R9" s="43"/>
      <c r="S9" s="47"/>
      <c r="T9" s="46"/>
      <c r="U9" s="50"/>
      <c r="V9" s="43"/>
      <c r="W9" s="43"/>
      <c r="X9" s="7"/>
      <c r="Y9" s="7"/>
      <c r="Z9" s="7"/>
      <c r="AA9" s="7"/>
      <c r="AB9" s="7"/>
      <c r="AQ9" s="67"/>
    </row>
    <row r="10" spans="1:43" s="5" customFormat="1" ht="11.25" x14ac:dyDescent="0.2">
      <c r="A10" s="1" t="s">
        <v>65</v>
      </c>
      <c r="B10" s="38">
        <f>C10*$B$4</f>
        <v>29.52</v>
      </c>
      <c r="C10" s="3">
        <v>14.76</v>
      </c>
      <c r="D10" s="5" t="s">
        <v>60</v>
      </c>
      <c r="E10" s="1"/>
      <c r="F10" s="4"/>
      <c r="G10" s="104" t="s">
        <v>66</v>
      </c>
      <c r="H10" s="103">
        <v>0.28699999999999998</v>
      </c>
      <c r="I10" s="7"/>
      <c r="J10" s="7"/>
      <c r="K10" s="7"/>
      <c r="O10" s="7"/>
      <c r="P10" s="7"/>
      <c r="Q10" s="7"/>
      <c r="R10" s="7"/>
      <c r="S10" s="7"/>
      <c r="T10" s="7"/>
      <c r="U10" s="7"/>
      <c r="V10" s="7"/>
      <c r="W10" s="7"/>
      <c r="X10" s="7"/>
      <c r="Y10" s="7"/>
      <c r="Z10" s="7"/>
      <c r="AA10" s="7"/>
      <c r="AB10" s="7"/>
    </row>
    <row r="11" spans="1:43" s="5" customFormat="1" thickBot="1" x14ac:dyDescent="0.25">
      <c r="A11" s="215" t="s">
        <v>67</v>
      </c>
      <c r="B11" s="5">
        <f>C11*B4</f>
        <v>7.2</v>
      </c>
      <c r="C11" s="6">
        <v>3.6</v>
      </c>
      <c r="D11" s="12" t="s">
        <v>60</v>
      </c>
      <c r="E11" s="1"/>
      <c r="F11" s="4"/>
      <c r="G11" s="104"/>
      <c r="H11" s="103"/>
      <c r="I11" s="7"/>
      <c r="J11" s="7"/>
      <c r="K11" s="7"/>
      <c r="L11" s="7"/>
      <c r="M11" s="7"/>
      <c r="N11" s="7"/>
      <c r="O11" s="7"/>
      <c r="P11" s="7"/>
      <c r="Q11" s="7"/>
      <c r="R11" s="7"/>
      <c r="S11" s="7"/>
      <c r="T11" s="7"/>
      <c r="U11" s="7"/>
      <c r="V11" s="7"/>
      <c r="W11" s="7"/>
      <c r="X11" s="7"/>
      <c r="Y11" s="7"/>
      <c r="Z11" s="7"/>
      <c r="AA11" s="7"/>
      <c r="AB11" s="7"/>
    </row>
    <row r="12" spans="1:43" s="5" customFormat="1" ht="11.25" x14ac:dyDescent="0.2">
      <c r="C12" s="12"/>
      <c r="D12" s="12"/>
      <c r="E12" s="12"/>
      <c r="F12" s="7"/>
      <c r="G12" s="7"/>
      <c r="H12" s="7"/>
      <c r="I12" s="7"/>
      <c r="J12" s="7"/>
      <c r="K12" s="7"/>
      <c r="L12" s="7"/>
      <c r="M12" s="7"/>
      <c r="N12" s="7"/>
      <c r="O12" s="7"/>
      <c r="P12" s="7"/>
      <c r="Q12" s="7"/>
      <c r="R12" s="7"/>
      <c r="S12" s="7"/>
      <c r="T12" s="7"/>
      <c r="U12" s="7"/>
      <c r="V12" s="7"/>
      <c r="W12" s="7"/>
      <c r="X12" s="7"/>
      <c r="Y12" s="7"/>
      <c r="Z12" s="7"/>
      <c r="AA12" s="7"/>
      <c r="AB12" s="7"/>
      <c r="AC12" s="770" t="s">
        <v>68</v>
      </c>
      <c r="AD12" s="771"/>
      <c r="AE12" s="771"/>
      <c r="AF12" s="771"/>
      <c r="AG12" s="771"/>
      <c r="AH12" s="771"/>
      <c r="AI12" s="771"/>
      <c r="AJ12" s="771"/>
      <c r="AK12" s="771"/>
      <c r="AL12" s="771"/>
      <c r="AM12" s="771"/>
      <c r="AN12" s="771"/>
      <c r="AO12" s="771"/>
      <c r="AP12" s="772"/>
    </row>
    <row r="13" spans="1:43" s="13" customFormat="1" ht="59.25" x14ac:dyDescent="0.2">
      <c r="A13" s="488" t="s">
        <v>69</v>
      </c>
      <c r="B13" s="489" t="s">
        <v>50</v>
      </c>
      <c r="C13" s="489" t="s">
        <v>50</v>
      </c>
      <c r="D13" s="489" t="s">
        <v>50</v>
      </c>
      <c r="E13" s="489" t="s">
        <v>50</v>
      </c>
      <c r="F13" s="489" t="s">
        <v>50</v>
      </c>
      <c r="G13" s="489" t="s">
        <v>50</v>
      </c>
      <c r="H13" s="489" t="s">
        <v>52</v>
      </c>
      <c r="I13" s="489" t="s">
        <v>52</v>
      </c>
      <c r="J13" s="489" t="s">
        <v>52</v>
      </c>
      <c r="K13" s="489" t="s">
        <v>56</v>
      </c>
      <c r="L13" s="489" t="s">
        <v>56</v>
      </c>
      <c r="M13" s="489" t="s">
        <v>56</v>
      </c>
      <c r="N13" s="489" t="s">
        <v>58</v>
      </c>
      <c r="O13" s="489" t="s">
        <v>58</v>
      </c>
      <c r="P13" s="489" t="s">
        <v>58</v>
      </c>
      <c r="Q13" s="489" t="s">
        <v>58</v>
      </c>
      <c r="R13" s="489" t="s">
        <v>61</v>
      </c>
      <c r="S13" s="489" t="s">
        <v>61</v>
      </c>
      <c r="T13" s="489" t="s">
        <v>61</v>
      </c>
      <c r="U13" s="489" t="s">
        <v>61</v>
      </c>
      <c r="V13" s="489" t="s">
        <v>61</v>
      </c>
      <c r="W13" s="489" t="s">
        <v>61</v>
      </c>
      <c r="X13" s="489" t="s">
        <v>58</v>
      </c>
      <c r="Y13" s="489" t="s">
        <v>58</v>
      </c>
      <c r="Z13" s="489" t="s">
        <v>58</v>
      </c>
      <c r="AA13" s="489" t="s">
        <v>58</v>
      </c>
      <c r="AB13" s="490" t="s">
        <v>58</v>
      </c>
      <c r="AC13" s="385" t="s">
        <v>50</v>
      </c>
      <c r="AD13" s="386" t="s">
        <v>52</v>
      </c>
      <c r="AE13" s="386" t="s">
        <v>52</v>
      </c>
      <c r="AF13" s="386" t="s">
        <v>52</v>
      </c>
      <c r="AG13" s="386" t="s">
        <v>56</v>
      </c>
      <c r="AH13" s="386" t="s">
        <v>56</v>
      </c>
      <c r="AI13" s="386" t="s">
        <v>56</v>
      </c>
      <c r="AJ13" s="386" t="s">
        <v>58</v>
      </c>
      <c r="AK13" s="386" t="s">
        <v>58</v>
      </c>
      <c r="AL13" s="386" t="s">
        <v>58</v>
      </c>
      <c r="AM13" s="386" t="s">
        <v>58</v>
      </c>
      <c r="AN13" s="386" t="s">
        <v>58</v>
      </c>
      <c r="AO13" s="386" t="s">
        <v>58</v>
      </c>
      <c r="AP13" s="387" t="s">
        <v>58</v>
      </c>
      <c r="AQ13" s="492" t="s">
        <v>70</v>
      </c>
    </row>
    <row r="14" spans="1:43" s="14" customFormat="1" x14ac:dyDescent="0.2">
      <c r="A14" s="488" t="s">
        <v>71</v>
      </c>
      <c r="B14" s="493" t="s">
        <v>72</v>
      </c>
      <c r="C14" s="493" t="s">
        <v>73</v>
      </c>
      <c r="D14" s="493" t="s">
        <v>74</v>
      </c>
      <c r="E14" s="493" t="s">
        <v>75</v>
      </c>
      <c r="F14" s="493" t="s">
        <v>76</v>
      </c>
      <c r="G14" s="493" t="s">
        <v>77</v>
      </c>
      <c r="H14" s="493" t="s">
        <v>78</v>
      </c>
      <c r="I14" s="493" t="s">
        <v>79</v>
      </c>
      <c r="J14" s="493" t="s">
        <v>80</v>
      </c>
      <c r="K14" s="493" t="s">
        <v>81</v>
      </c>
      <c r="L14" s="493" t="s">
        <v>82</v>
      </c>
      <c r="M14" s="493" t="s">
        <v>83</v>
      </c>
      <c r="N14" s="493" t="s">
        <v>84</v>
      </c>
      <c r="O14" s="493" t="s">
        <v>85</v>
      </c>
      <c r="P14" s="493" t="s">
        <v>86</v>
      </c>
      <c r="Q14" s="493" t="s">
        <v>87</v>
      </c>
      <c r="R14" s="493" t="s">
        <v>88</v>
      </c>
      <c r="S14" s="493" t="s">
        <v>89</v>
      </c>
      <c r="T14" s="493" t="s">
        <v>90</v>
      </c>
      <c r="U14" s="493" t="s">
        <v>91</v>
      </c>
      <c r="V14" s="493" t="s">
        <v>92</v>
      </c>
      <c r="W14" s="493" t="s">
        <v>93</v>
      </c>
      <c r="X14" s="494" t="s">
        <v>94</v>
      </c>
      <c r="Y14" s="493" t="s">
        <v>95</v>
      </c>
      <c r="Z14" s="493" t="s">
        <v>96</v>
      </c>
      <c r="AA14" s="493" t="s">
        <v>97</v>
      </c>
      <c r="AB14" s="495" t="s">
        <v>98</v>
      </c>
      <c r="AC14" s="87" t="s">
        <v>99</v>
      </c>
      <c r="AD14" s="494" t="s">
        <v>100</v>
      </c>
      <c r="AE14" s="494" t="s">
        <v>101</v>
      </c>
      <c r="AF14" s="494" t="s">
        <v>102</v>
      </c>
      <c r="AG14" s="494" t="s">
        <v>103</v>
      </c>
      <c r="AH14" s="494" t="s">
        <v>104</v>
      </c>
      <c r="AI14" s="494" t="s">
        <v>105</v>
      </c>
      <c r="AJ14" s="494" t="s">
        <v>106</v>
      </c>
      <c r="AK14" s="494" t="s">
        <v>107</v>
      </c>
      <c r="AL14" s="494" t="s">
        <v>108</v>
      </c>
      <c r="AM14" s="494" t="s">
        <v>109</v>
      </c>
      <c r="AN14" s="494" t="s">
        <v>110</v>
      </c>
      <c r="AO14" s="494" t="s">
        <v>111</v>
      </c>
      <c r="AP14" s="496" t="s">
        <v>112</v>
      </c>
      <c r="AQ14" s="497" t="s">
        <v>113</v>
      </c>
    </row>
    <row r="15" spans="1:43" s="14" customFormat="1" x14ac:dyDescent="0.2">
      <c r="A15" s="488" t="s">
        <v>114</v>
      </c>
      <c r="B15" s="494">
        <v>1</v>
      </c>
      <c r="C15" s="494">
        <v>2</v>
      </c>
      <c r="D15" s="494">
        <v>3</v>
      </c>
      <c r="E15" s="494">
        <v>4</v>
      </c>
      <c r="F15" s="494">
        <v>5</v>
      </c>
      <c r="G15" s="494">
        <v>6</v>
      </c>
      <c r="H15" s="494">
        <v>7</v>
      </c>
      <c r="I15" s="494">
        <v>8</v>
      </c>
      <c r="J15" s="494">
        <v>9</v>
      </c>
      <c r="K15" s="494">
        <v>10</v>
      </c>
      <c r="L15" s="494">
        <v>11</v>
      </c>
      <c r="M15" s="494">
        <v>12</v>
      </c>
      <c r="N15" s="494">
        <v>13</v>
      </c>
      <c r="O15" s="494">
        <v>14</v>
      </c>
      <c r="P15" s="494">
        <v>15</v>
      </c>
      <c r="Q15" s="494">
        <v>16</v>
      </c>
      <c r="R15" s="494">
        <v>17</v>
      </c>
      <c r="S15" s="494">
        <v>18</v>
      </c>
      <c r="T15" s="494">
        <v>19</v>
      </c>
      <c r="U15" s="494">
        <v>20</v>
      </c>
      <c r="V15" s="494">
        <v>21</v>
      </c>
      <c r="W15" s="494">
        <v>22</v>
      </c>
      <c r="X15" s="494">
        <v>23</v>
      </c>
      <c r="Y15" s="494">
        <v>24</v>
      </c>
      <c r="Z15" s="494">
        <v>25</v>
      </c>
      <c r="AA15" s="494">
        <v>26</v>
      </c>
      <c r="AB15" s="498">
        <v>27</v>
      </c>
      <c r="AC15" s="87">
        <v>28</v>
      </c>
      <c r="AD15" s="494">
        <v>29</v>
      </c>
      <c r="AE15" s="494">
        <v>30</v>
      </c>
      <c r="AF15" s="494">
        <v>31</v>
      </c>
      <c r="AG15" s="494">
        <v>32</v>
      </c>
      <c r="AH15" s="494">
        <v>33</v>
      </c>
      <c r="AI15" s="494">
        <v>34</v>
      </c>
      <c r="AJ15" s="494">
        <v>35</v>
      </c>
      <c r="AK15" s="494">
        <v>36</v>
      </c>
      <c r="AL15" s="494">
        <v>37</v>
      </c>
      <c r="AM15" s="494">
        <v>38</v>
      </c>
      <c r="AN15" s="494">
        <v>39</v>
      </c>
      <c r="AO15" s="494">
        <v>40</v>
      </c>
      <c r="AP15" s="496">
        <v>41</v>
      </c>
      <c r="AQ15" s="497">
        <v>28</v>
      </c>
    </row>
    <row r="16" spans="1:43" x14ac:dyDescent="0.2">
      <c r="A16" s="488" t="s">
        <v>115</v>
      </c>
      <c r="B16" s="715" t="s">
        <v>116</v>
      </c>
      <c r="C16" s="716"/>
      <c r="D16" s="716"/>
      <c r="E16" s="716"/>
      <c r="F16" s="716"/>
      <c r="G16" s="724"/>
      <c r="H16" s="725"/>
      <c r="I16" s="726"/>
      <c r="J16" s="727"/>
      <c r="K16" s="725"/>
      <c r="L16" s="726"/>
      <c r="M16" s="727"/>
      <c r="N16" s="715" t="s">
        <v>117</v>
      </c>
      <c r="O16" s="716"/>
      <c r="P16" s="716"/>
      <c r="Q16" s="724"/>
      <c r="R16" s="715" t="s">
        <v>61</v>
      </c>
      <c r="S16" s="716"/>
      <c r="T16" s="716"/>
      <c r="U16" s="716"/>
      <c r="V16" s="716"/>
      <c r="W16" s="724"/>
      <c r="X16" s="715" t="s">
        <v>117</v>
      </c>
      <c r="Y16" s="716"/>
      <c r="Z16" s="716"/>
      <c r="AA16" s="716"/>
      <c r="AB16" s="716"/>
      <c r="AC16" s="88"/>
      <c r="AD16" s="725"/>
      <c r="AE16" s="726"/>
      <c r="AF16" s="727"/>
      <c r="AG16" s="725"/>
      <c r="AH16" s="726"/>
      <c r="AI16" s="727"/>
      <c r="AJ16" s="715" t="s">
        <v>117</v>
      </c>
      <c r="AK16" s="716"/>
      <c r="AL16" s="724"/>
      <c r="AM16" s="715" t="s">
        <v>117</v>
      </c>
      <c r="AN16" s="716"/>
      <c r="AO16" s="716"/>
      <c r="AP16" s="734"/>
      <c r="AQ16" s="497" t="s">
        <v>118</v>
      </c>
    </row>
    <row r="17" spans="1:43" ht="12.75" x14ac:dyDescent="0.2">
      <c r="A17" s="51" t="s">
        <v>119</v>
      </c>
      <c r="B17" s="499"/>
      <c r="C17" s="681"/>
      <c r="D17" s="681"/>
      <c r="E17" s="681"/>
      <c r="F17" s="681"/>
      <c r="G17" s="681"/>
      <c r="H17" s="681"/>
      <c r="I17" s="681"/>
      <c r="J17" s="681"/>
      <c r="K17" s="681"/>
      <c r="L17" s="681"/>
      <c r="M17" s="681"/>
      <c r="N17" s="681"/>
      <c r="O17" s="681"/>
      <c r="P17" s="681"/>
      <c r="Q17" s="681"/>
      <c r="R17" s="681"/>
      <c r="S17" s="681"/>
      <c r="T17" s="500"/>
      <c r="U17" s="681"/>
      <c r="V17" s="681"/>
      <c r="W17" s="681"/>
      <c r="X17" s="681"/>
      <c r="Y17" s="681"/>
      <c r="Z17" s="681"/>
      <c r="AA17" s="681"/>
      <c r="AB17" s="681"/>
      <c r="AC17" s="89"/>
      <c r="AD17" s="39"/>
      <c r="AE17" s="39"/>
      <c r="AF17" s="39"/>
      <c r="AG17" s="39"/>
      <c r="AH17" s="39"/>
      <c r="AI17" s="39"/>
      <c r="AJ17" s="39"/>
      <c r="AK17" s="39"/>
      <c r="AL17" s="39"/>
      <c r="AM17" s="39"/>
      <c r="AN17" s="39"/>
      <c r="AO17" s="39"/>
      <c r="AP17" s="90"/>
      <c r="AQ17" s="40"/>
    </row>
    <row r="18" spans="1:43" x14ac:dyDescent="0.2">
      <c r="A18" s="501" t="s">
        <v>120</v>
      </c>
      <c r="B18" s="502">
        <f>MIN(B77,80)</f>
        <v>5</v>
      </c>
      <c r="C18" s="502">
        <f t="shared" ref="C18:AB18" si="0">MIN(C77,80)</f>
        <v>5</v>
      </c>
      <c r="D18" s="502">
        <f t="shared" si="0"/>
        <v>5</v>
      </c>
      <c r="E18" s="502">
        <f t="shared" si="0"/>
        <v>5</v>
      </c>
      <c r="F18" s="502">
        <f t="shared" si="0"/>
        <v>5</v>
      </c>
      <c r="G18" s="502">
        <f t="shared" si="0"/>
        <v>5</v>
      </c>
      <c r="H18" s="502">
        <f t="shared" si="0"/>
        <v>5</v>
      </c>
      <c r="I18" s="502">
        <f t="shared" si="0"/>
        <v>20</v>
      </c>
      <c r="J18" s="502">
        <f t="shared" si="0"/>
        <v>42</v>
      </c>
      <c r="K18" s="502">
        <f t="shared" si="0"/>
        <v>60</v>
      </c>
      <c r="L18" s="502">
        <f t="shared" si="0"/>
        <v>70</v>
      </c>
      <c r="M18" s="502">
        <f t="shared" si="0"/>
        <v>70</v>
      </c>
      <c r="N18" s="502">
        <f t="shared" si="0"/>
        <v>80</v>
      </c>
      <c r="O18" s="502">
        <f t="shared" si="0"/>
        <v>80</v>
      </c>
      <c r="P18" s="502">
        <f t="shared" si="0"/>
        <v>80</v>
      </c>
      <c r="Q18" s="502">
        <f t="shared" si="0"/>
        <v>80</v>
      </c>
      <c r="R18" s="502">
        <f t="shared" si="0"/>
        <v>80</v>
      </c>
      <c r="S18" s="502">
        <f t="shared" si="0"/>
        <v>80</v>
      </c>
      <c r="T18" s="502">
        <f t="shared" si="0"/>
        <v>80</v>
      </c>
      <c r="U18" s="502">
        <f t="shared" si="0"/>
        <v>80</v>
      </c>
      <c r="V18" s="502">
        <f t="shared" si="0"/>
        <v>80</v>
      </c>
      <c r="W18" s="502">
        <f t="shared" si="0"/>
        <v>80</v>
      </c>
      <c r="X18" s="502">
        <f t="shared" si="0"/>
        <v>80</v>
      </c>
      <c r="Y18" s="502">
        <f t="shared" si="0"/>
        <v>80</v>
      </c>
      <c r="Z18" s="502">
        <f t="shared" si="0"/>
        <v>80</v>
      </c>
      <c r="AA18" s="502">
        <f t="shared" si="0"/>
        <v>80</v>
      </c>
      <c r="AB18" s="503">
        <f t="shared" si="0"/>
        <v>80</v>
      </c>
      <c r="AC18" s="91">
        <f>G18</f>
        <v>5</v>
      </c>
      <c r="AD18" s="504">
        <f t="shared" ref="AD18:AL18" si="1">H18</f>
        <v>5</v>
      </c>
      <c r="AE18" s="504">
        <f t="shared" si="1"/>
        <v>20</v>
      </c>
      <c r="AF18" s="504">
        <f t="shared" si="1"/>
        <v>42</v>
      </c>
      <c r="AG18" s="504">
        <f t="shared" si="1"/>
        <v>60</v>
      </c>
      <c r="AH18" s="504">
        <f t="shared" si="1"/>
        <v>70</v>
      </c>
      <c r="AI18" s="504">
        <f t="shared" si="1"/>
        <v>70</v>
      </c>
      <c r="AJ18" s="504">
        <f t="shared" si="1"/>
        <v>80</v>
      </c>
      <c r="AK18" s="504">
        <f t="shared" si="1"/>
        <v>80</v>
      </c>
      <c r="AL18" s="504">
        <f t="shared" si="1"/>
        <v>80</v>
      </c>
      <c r="AM18" s="504">
        <f>Y18</f>
        <v>80</v>
      </c>
      <c r="AN18" s="504">
        <f t="shared" ref="AN18:AP18" si="2">Z18</f>
        <v>80</v>
      </c>
      <c r="AO18" s="504">
        <f t="shared" si="2"/>
        <v>80</v>
      </c>
      <c r="AP18" s="505">
        <f t="shared" si="2"/>
        <v>80</v>
      </c>
      <c r="AQ18" s="506">
        <f>MIN(AQ78,80)</f>
        <v>18.616566771031298</v>
      </c>
    </row>
    <row r="19" spans="1:43" x14ac:dyDescent="0.2">
      <c r="A19" s="507" t="s">
        <v>121</v>
      </c>
      <c r="B19" s="508">
        <v>0.5</v>
      </c>
      <c r="C19" s="508">
        <v>0.5</v>
      </c>
      <c r="D19" s="508">
        <v>0.5</v>
      </c>
      <c r="E19" s="508">
        <v>0.5</v>
      </c>
      <c r="F19" s="508">
        <v>0.5</v>
      </c>
      <c r="G19" s="508">
        <v>0.5</v>
      </c>
      <c r="H19" s="508">
        <v>0.55000000000000004</v>
      </c>
      <c r="I19" s="508">
        <v>0.6</v>
      </c>
      <c r="J19" s="508">
        <v>0.65</v>
      </c>
      <c r="K19" s="508">
        <v>0.7</v>
      </c>
      <c r="L19" s="508">
        <v>0.7</v>
      </c>
      <c r="M19" s="508">
        <v>0.7</v>
      </c>
      <c r="N19" s="508">
        <v>0.7</v>
      </c>
      <c r="O19" s="508">
        <v>0.7</v>
      </c>
      <c r="P19" s="508">
        <v>0.7</v>
      </c>
      <c r="Q19" s="508">
        <v>0.4</v>
      </c>
      <c r="R19" s="508">
        <v>0.8</v>
      </c>
      <c r="S19" s="508">
        <v>0.8</v>
      </c>
      <c r="T19" s="508">
        <v>0.8</v>
      </c>
      <c r="U19" s="508">
        <v>0.8</v>
      </c>
      <c r="V19" s="508">
        <v>0.8</v>
      </c>
      <c r="W19" s="508">
        <v>0.7</v>
      </c>
      <c r="X19" s="508">
        <v>0.4</v>
      </c>
      <c r="Y19" s="508">
        <v>0.6</v>
      </c>
      <c r="Z19" s="508">
        <v>0.6</v>
      </c>
      <c r="AA19" s="508">
        <v>0.6</v>
      </c>
      <c r="AB19" s="509">
        <v>0.6</v>
      </c>
      <c r="AC19" s="92">
        <v>0.5</v>
      </c>
      <c r="AD19" s="508">
        <v>0.55000000000000004</v>
      </c>
      <c r="AE19" s="508">
        <v>0.6</v>
      </c>
      <c r="AF19" s="508">
        <v>0.65</v>
      </c>
      <c r="AG19" s="508">
        <v>0.7</v>
      </c>
      <c r="AH19" s="508">
        <v>0.7</v>
      </c>
      <c r="AI19" s="508">
        <v>0.7</v>
      </c>
      <c r="AJ19" s="508">
        <v>0.7</v>
      </c>
      <c r="AK19" s="508">
        <v>0.7</v>
      </c>
      <c r="AL19" s="508">
        <v>0.7</v>
      </c>
      <c r="AM19" s="508">
        <v>0.6</v>
      </c>
      <c r="AN19" s="508">
        <v>0.6</v>
      </c>
      <c r="AO19" s="508">
        <v>0.6</v>
      </c>
      <c r="AP19" s="510">
        <v>0.6</v>
      </c>
      <c r="AQ19" s="511">
        <v>0.4</v>
      </c>
    </row>
    <row r="20" spans="1:43" s="16" customFormat="1" x14ac:dyDescent="0.2">
      <c r="A20" s="259" t="s">
        <v>122</v>
      </c>
      <c r="B20" s="499"/>
      <c r="C20" s="681"/>
      <c r="D20" s="681"/>
      <c r="E20" s="681"/>
      <c r="F20" s="681"/>
      <c r="G20" s="681"/>
      <c r="H20" s="681"/>
      <c r="I20" s="681"/>
      <c r="J20" s="681"/>
      <c r="K20" s="681"/>
      <c r="L20" s="681"/>
      <c r="M20" s="681"/>
      <c r="N20" s="681"/>
      <c r="O20" s="681"/>
      <c r="P20" s="681"/>
      <c r="Q20" s="681"/>
      <c r="R20" s="681"/>
      <c r="S20" s="681"/>
      <c r="T20" s="500"/>
      <c r="U20" s="681"/>
      <c r="V20" s="681"/>
      <c r="W20" s="681"/>
      <c r="X20" s="681"/>
      <c r="Y20" s="681"/>
      <c r="Z20" s="681"/>
      <c r="AA20" s="681"/>
      <c r="AB20" s="681"/>
      <c r="AC20" s="89"/>
      <c r="AD20" s="39"/>
      <c r="AE20" s="39"/>
      <c r="AF20" s="39"/>
      <c r="AG20" s="39"/>
      <c r="AH20" s="39"/>
      <c r="AI20" s="39"/>
      <c r="AJ20" s="39"/>
      <c r="AK20" s="39"/>
      <c r="AL20" s="39"/>
      <c r="AM20" s="39"/>
      <c r="AN20" s="39"/>
      <c r="AO20" s="39"/>
      <c r="AP20" s="90"/>
      <c r="AQ20" s="40"/>
    </row>
    <row r="21" spans="1:43" s="17" customFormat="1" x14ac:dyDescent="0.2">
      <c r="A21" s="515" t="s">
        <v>123</v>
      </c>
      <c r="B21" s="516">
        <f t="shared" ref="B21:AQ21" si="3">B19*$B$8</f>
        <v>13.7</v>
      </c>
      <c r="C21" s="516">
        <f t="shared" si="3"/>
        <v>13.7</v>
      </c>
      <c r="D21" s="516">
        <f t="shared" si="3"/>
        <v>13.7</v>
      </c>
      <c r="E21" s="516">
        <f t="shared" si="3"/>
        <v>13.7</v>
      </c>
      <c r="F21" s="516">
        <f t="shared" si="3"/>
        <v>13.7</v>
      </c>
      <c r="G21" s="516">
        <f t="shared" si="3"/>
        <v>13.7</v>
      </c>
      <c r="H21" s="516">
        <f t="shared" si="3"/>
        <v>15.07</v>
      </c>
      <c r="I21" s="516">
        <f t="shared" si="3"/>
        <v>16.439999999999998</v>
      </c>
      <c r="J21" s="516">
        <f t="shared" si="3"/>
        <v>17.809999999999999</v>
      </c>
      <c r="K21" s="516">
        <f t="shared" si="3"/>
        <v>19.179999999999996</v>
      </c>
      <c r="L21" s="516">
        <f t="shared" si="3"/>
        <v>19.179999999999996</v>
      </c>
      <c r="M21" s="516">
        <f t="shared" si="3"/>
        <v>19.179999999999996</v>
      </c>
      <c r="N21" s="516">
        <f t="shared" si="3"/>
        <v>19.179999999999996</v>
      </c>
      <c r="O21" s="516">
        <f t="shared" si="3"/>
        <v>19.179999999999996</v>
      </c>
      <c r="P21" s="516">
        <f t="shared" si="3"/>
        <v>19.179999999999996</v>
      </c>
      <c r="Q21" s="516">
        <f t="shared" si="3"/>
        <v>10.96</v>
      </c>
      <c r="R21" s="516">
        <f t="shared" si="3"/>
        <v>21.92</v>
      </c>
      <c r="S21" s="516">
        <f t="shared" si="3"/>
        <v>21.92</v>
      </c>
      <c r="T21" s="516">
        <f t="shared" si="3"/>
        <v>21.92</v>
      </c>
      <c r="U21" s="516">
        <f t="shared" si="3"/>
        <v>21.92</v>
      </c>
      <c r="V21" s="516">
        <f t="shared" si="3"/>
        <v>21.92</v>
      </c>
      <c r="W21" s="516">
        <f t="shared" si="3"/>
        <v>19.179999999999996</v>
      </c>
      <c r="X21" s="516">
        <f t="shared" si="3"/>
        <v>10.96</v>
      </c>
      <c r="Y21" s="516">
        <f t="shared" si="3"/>
        <v>16.439999999999998</v>
      </c>
      <c r="Z21" s="516">
        <f t="shared" si="3"/>
        <v>16.439999999999998</v>
      </c>
      <c r="AA21" s="516">
        <f t="shared" si="3"/>
        <v>16.439999999999998</v>
      </c>
      <c r="AB21" s="517">
        <f t="shared" si="3"/>
        <v>16.439999999999998</v>
      </c>
      <c r="AC21" s="105">
        <f t="shared" si="3"/>
        <v>13.7</v>
      </c>
      <c r="AD21" s="517">
        <f t="shared" si="3"/>
        <v>15.07</v>
      </c>
      <c r="AE21" s="517">
        <f t="shared" si="3"/>
        <v>16.439999999999998</v>
      </c>
      <c r="AF21" s="517">
        <f t="shared" si="3"/>
        <v>17.809999999999999</v>
      </c>
      <c r="AG21" s="517">
        <f t="shared" si="3"/>
        <v>19.179999999999996</v>
      </c>
      <c r="AH21" s="517">
        <f t="shared" si="3"/>
        <v>19.179999999999996</v>
      </c>
      <c r="AI21" s="517">
        <f t="shared" si="3"/>
        <v>19.179999999999996</v>
      </c>
      <c r="AJ21" s="517">
        <f t="shared" si="3"/>
        <v>19.179999999999996</v>
      </c>
      <c r="AK21" s="517">
        <f t="shared" si="3"/>
        <v>19.179999999999996</v>
      </c>
      <c r="AL21" s="517">
        <f t="shared" si="3"/>
        <v>19.179999999999996</v>
      </c>
      <c r="AM21" s="517">
        <f t="shared" si="3"/>
        <v>16.439999999999998</v>
      </c>
      <c r="AN21" s="517">
        <f t="shared" si="3"/>
        <v>16.439999999999998</v>
      </c>
      <c r="AO21" s="517">
        <f t="shared" si="3"/>
        <v>16.439999999999998</v>
      </c>
      <c r="AP21" s="518">
        <f t="shared" si="3"/>
        <v>16.439999999999998</v>
      </c>
      <c r="AQ21" s="519">
        <f t="shared" si="3"/>
        <v>10.96</v>
      </c>
    </row>
    <row r="22" spans="1:43" s="17" customFormat="1" x14ac:dyDescent="0.2">
      <c r="A22" s="515" t="s">
        <v>124</v>
      </c>
      <c r="B22" s="520">
        <f t="shared" ref="B22:AQ22" si="4">B21*$B$5</f>
        <v>27.4</v>
      </c>
      <c r="C22" s="520">
        <f t="shared" si="4"/>
        <v>27.4</v>
      </c>
      <c r="D22" s="520">
        <f t="shared" si="4"/>
        <v>27.4</v>
      </c>
      <c r="E22" s="520">
        <f t="shared" si="4"/>
        <v>27.4</v>
      </c>
      <c r="F22" s="520">
        <f t="shared" si="4"/>
        <v>27.4</v>
      </c>
      <c r="G22" s="520">
        <f t="shared" si="4"/>
        <v>27.4</v>
      </c>
      <c r="H22" s="520">
        <f t="shared" si="4"/>
        <v>30.14</v>
      </c>
      <c r="I22" s="520">
        <f t="shared" si="4"/>
        <v>32.879999999999995</v>
      </c>
      <c r="J22" s="520">
        <f t="shared" si="4"/>
        <v>35.619999999999997</v>
      </c>
      <c r="K22" s="520">
        <f t="shared" si="4"/>
        <v>38.359999999999992</v>
      </c>
      <c r="L22" s="520">
        <f t="shared" si="4"/>
        <v>38.359999999999992</v>
      </c>
      <c r="M22" s="520">
        <f t="shared" si="4"/>
        <v>38.359999999999992</v>
      </c>
      <c r="N22" s="520">
        <f t="shared" si="4"/>
        <v>38.359999999999992</v>
      </c>
      <c r="O22" s="520">
        <f t="shared" si="4"/>
        <v>38.359999999999992</v>
      </c>
      <c r="P22" s="520">
        <f t="shared" si="4"/>
        <v>38.359999999999992</v>
      </c>
      <c r="Q22" s="520">
        <f t="shared" si="4"/>
        <v>21.92</v>
      </c>
      <c r="R22" s="520">
        <f t="shared" si="4"/>
        <v>43.84</v>
      </c>
      <c r="S22" s="520">
        <f t="shared" si="4"/>
        <v>43.84</v>
      </c>
      <c r="T22" s="520">
        <f t="shared" si="4"/>
        <v>43.84</v>
      </c>
      <c r="U22" s="520">
        <f t="shared" si="4"/>
        <v>43.84</v>
      </c>
      <c r="V22" s="520">
        <f t="shared" si="4"/>
        <v>43.84</v>
      </c>
      <c r="W22" s="520">
        <f t="shared" si="4"/>
        <v>38.359999999999992</v>
      </c>
      <c r="X22" s="520">
        <f t="shared" si="4"/>
        <v>21.92</v>
      </c>
      <c r="Y22" s="520">
        <f t="shared" si="4"/>
        <v>32.879999999999995</v>
      </c>
      <c r="Z22" s="520">
        <f t="shared" si="4"/>
        <v>32.879999999999995</v>
      </c>
      <c r="AA22" s="520">
        <f t="shared" si="4"/>
        <v>32.879999999999995</v>
      </c>
      <c r="AB22" s="521">
        <f t="shared" si="4"/>
        <v>32.879999999999995</v>
      </c>
      <c r="AC22" s="106">
        <f t="shared" si="4"/>
        <v>27.4</v>
      </c>
      <c r="AD22" s="521">
        <f t="shared" si="4"/>
        <v>30.14</v>
      </c>
      <c r="AE22" s="521">
        <f t="shared" si="4"/>
        <v>32.879999999999995</v>
      </c>
      <c r="AF22" s="521">
        <f t="shared" si="4"/>
        <v>35.619999999999997</v>
      </c>
      <c r="AG22" s="521">
        <f t="shared" si="4"/>
        <v>38.359999999999992</v>
      </c>
      <c r="AH22" s="521">
        <f t="shared" si="4"/>
        <v>38.359999999999992</v>
      </c>
      <c r="AI22" s="521">
        <f t="shared" si="4"/>
        <v>38.359999999999992</v>
      </c>
      <c r="AJ22" s="521">
        <f t="shared" si="4"/>
        <v>38.359999999999992</v>
      </c>
      <c r="AK22" s="521">
        <f t="shared" si="4"/>
        <v>38.359999999999992</v>
      </c>
      <c r="AL22" s="521">
        <f t="shared" si="4"/>
        <v>38.359999999999992</v>
      </c>
      <c r="AM22" s="521">
        <f t="shared" si="4"/>
        <v>32.879999999999995</v>
      </c>
      <c r="AN22" s="521">
        <f t="shared" si="4"/>
        <v>32.879999999999995</v>
      </c>
      <c r="AO22" s="521">
        <f t="shared" si="4"/>
        <v>32.879999999999995</v>
      </c>
      <c r="AP22" s="522">
        <f t="shared" si="4"/>
        <v>32.879999999999995</v>
      </c>
      <c r="AQ22" s="523">
        <f t="shared" si="4"/>
        <v>21.92</v>
      </c>
    </row>
    <row r="23" spans="1:43" s="17" customFormat="1" x14ac:dyDescent="0.2">
      <c r="A23" s="515" t="s">
        <v>125</v>
      </c>
      <c r="B23" s="524">
        <f>$B$9</f>
        <v>2</v>
      </c>
      <c r="C23" s="524">
        <f t="shared" ref="C23:AQ23" si="5">$B$9</f>
        <v>2</v>
      </c>
      <c r="D23" s="524">
        <f t="shared" si="5"/>
        <v>2</v>
      </c>
      <c r="E23" s="524">
        <f t="shared" si="5"/>
        <v>2</v>
      </c>
      <c r="F23" s="524">
        <f t="shared" si="5"/>
        <v>2</v>
      </c>
      <c r="G23" s="524">
        <f t="shared" si="5"/>
        <v>2</v>
      </c>
      <c r="H23" s="524">
        <f t="shared" si="5"/>
        <v>2</v>
      </c>
      <c r="I23" s="524">
        <f t="shared" si="5"/>
        <v>2</v>
      </c>
      <c r="J23" s="524">
        <f t="shared" si="5"/>
        <v>2</v>
      </c>
      <c r="K23" s="524">
        <f t="shared" si="5"/>
        <v>2</v>
      </c>
      <c r="L23" s="524">
        <f t="shared" si="5"/>
        <v>2</v>
      </c>
      <c r="M23" s="524">
        <f t="shared" si="5"/>
        <v>2</v>
      </c>
      <c r="N23" s="524">
        <f t="shared" si="5"/>
        <v>2</v>
      </c>
      <c r="O23" s="524">
        <f t="shared" si="5"/>
        <v>2</v>
      </c>
      <c r="P23" s="524">
        <f t="shared" si="5"/>
        <v>2</v>
      </c>
      <c r="Q23" s="524">
        <f t="shared" si="5"/>
        <v>2</v>
      </c>
      <c r="R23" s="524">
        <f t="shared" si="5"/>
        <v>2</v>
      </c>
      <c r="S23" s="524">
        <f t="shared" si="5"/>
        <v>2</v>
      </c>
      <c r="T23" s="524">
        <f t="shared" si="5"/>
        <v>2</v>
      </c>
      <c r="U23" s="524">
        <f t="shared" si="5"/>
        <v>2</v>
      </c>
      <c r="V23" s="524">
        <f t="shared" si="5"/>
        <v>2</v>
      </c>
      <c r="W23" s="524">
        <f t="shared" si="5"/>
        <v>2</v>
      </c>
      <c r="X23" s="524">
        <f t="shared" si="5"/>
        <v>2</v>
      </c>
      <c r="Y23" s="524">
        <f t="shared" si="5"/>
        <v>2</v>
      </c>
      <c r="Z23" s="524">
        <f t="shared" si="5"/>
        <v>2</v>
      </c>
      <c r="AA23" s="524">
        <f t="shared" si="5"/>
        <v>2</v>
      </c>
      <c r="AB23" s="525">
        <f t="shared" si="5"/>
        <v>2</v>
      </c>
      <c r="AC23" s="107">
        <f t="shared" si="5"/>
        <v>2</v>
      </c>
      <c r="AD23" s="525">
        <f t="shared" si="5"/>
        <v>2</v>
      </c>
      <c r="AE23" s="525">
        <f t="shared" si="5"/>
        <v>2</v>
      </c>
      <c r="AF23" s="525">
        <f t="shared" si="5"/>
        <v>2</v>
      </c>
      <c r="AG23" s="525">
        <f t="shared" si="5"/>
        <v>2</v>
      </c>
      <c r="AH23" s="525">
        <f t="shared" si="5"/>
        <v>2</v>
      </c>
      <c r="AI23" s="525">
        <f t="shared" si="5"/>
        <v>2</v>
      </c>
      <c r="AJ23" s="525">
        <f t="shared" si="5"/>
        <v>2</v>
      </c>
      <c r="AK23" s="525">
        <f t="shared" si="5"/>
        <v>2</v>
      </c>
      <c r="AL23" s="525">
        <f t="shared" si="5"/>
        <v>2</v>
      </c>
      <c r="AM23" s="525">
        <f t="shared" si="5"/>
        <v>2</v>
      </c>
      <c r="AN23" s="525">
        <f t="shared" si="5"/>
        <v>2</v>
      </c>
      <c r="AO23" s="525">
        <f t="shared" si="5"/>
        <v>2</v>
      </c>
      <c r="AP23" s="526">
        <f t="shared" si="5"/>
        <v>2</v>
      </c>
      <c r="AQ23" s="527">
        <f t="shared" si="5"/>
        <v>2</v>
      </c>
    </row>
    <row r="24" spans="1:43" s="17" customFormat="1" x14ac:dyDescent="0.2">
      <c r="A24" s="515" t="s">
        <v>126</v>
      </c>
      <c r="B24" s="524">
        <f t="shared" ref="B24:AQ24" si="6">IF(ISBLANK(B102),0,$B$10)</f>
        <v>0</v>
      </c>
      <c r="C24" s="524">
        <f t="shared" si="6"/>
        <v>0</v>
      </c>
      <c r="D24" s="524">
        <f t="shared" si="6"/>
        <v>0</v>
      </c>
      <c r="E24" s="524">
        <f t="shared" si="6"/>
        <v>0</v>
      </c>
      <c r="F24" s="524">
        <f t="shared" si="6"/>
        <v>0</v>
      </c>
      <c r="G24" s="524">
        <f t="shared" si="6"/>
        <v>0</v>
      </c>
      <c r="H24" s="524">
        <f t="shared" si="6"/>
        <v>0</v>
      </c>
      <c r="I24" s="524">
        <f t="shared" si="6"/>
        <v>0</v>
      </c>
      <c r="J24" s="524">
        <f t="shared" si="6"/>
        <v>0</v>
      </c>
      <c r="K24" s="524">
        <f t="shared" si="6"/>
        <v>0</v>
      </c>
      <c r="L24" s="524">
        <f t="shared" si="6"/>
        <v>0</v>
      </c>
      <c r="M24" s="524">
        <f t="shared" si="6"/>
        <v>0</v>
      </c>
      <c r="N24" s="524">
        <f t="shared" si="6"/>
        <v>0</v>
      </c>
      <c r="O24" s="524">
        <f t="shared" si="6"/>
        <v>0</v>
      </c>
      <c r="P24" s="524">
        <f t="shared" si="6"/>
        <v>0</v>
      </c>
      <c r="Q24" s="524">
        <f t="shared" si="6"/>
        <v>0</v>
      </c>
      <c r="R24" s="524">
        <f t="shared" si="6"/>
        <v>29.52</v>
      </c>
      <c r="S24" s="524">
        <f t="shared" si="6"/>
        <v>29.52</v>
      </c>
      <c r="T24" s="524">
        <f t="shared" si="6"/>
        <v>29.52</v>
      </c>
      <c r="U24" s="524">
        <f t="shared" si="6"/>
        <v>29.52</v>
      </c>
      <c r="V24" s="524">
        <f t="shared" si="6"/>
        <v>29.52</v>
      </c>
      <c r="W24" s="524">
        <f t="shared" si="6"/>
        <v>29.52</v>
      </c>
      <c r="X24" s="524">
        <f t="shared" si="6"/>
        <v>0</v>
      </c>
      <c r="Y24" s="524">
        <f t="shared" si="6"/>
        <v>0</v>
      </c>
      <c r="Z24" s="524">
        <f t="shared" si="6"/>
        <v>0</v>
      </c>
      <c r="AA24" s="524">
        <f t="shared" si="6"/>
        <v>0</v>
      </c>
      <c r="AB24" s="525">
        <f t="shared" si="6"/>
        <v>0</v>
      </c>
      <c r="AC24" s="107">
        <f t="shared" si="6"/>
        <v>29.52</v>
      </c>
      <c r="AD24" s="525">
        <f t="shared" si="6"/>
        <v>29.52</v>
      </c>
      <c r="AE24" s="525">
        <f t="shared" si="6"/>
        <v>29.52</v>
      </c>
      <c r="AF24" s="525">
        <f t="shared" si="6"/>
        <v>29.52</v>
      </c>
      <c r="AG24" s="525">
        <f t="shared" si="6"/>
        <v>29.52</v>
      </c>
      <c r="AH24" s="525">
        <f t="shared" si="6"/>
        <v>29.52</v>
      </c>
      <c r="AI24" s="525">
        <f t="shared" si="6"/>
        <v>29.52</v>
      </c>
      <c r="AJ24" s="525">
        <f t="shared" si="6"/>
        <v>29.52</v>
      </c>
      <c r="AK24" s="525">
        <f t="shared" si="6"/>
        <v>29.52</v>
      </c>
      <c r="AL24" s="525">
        <f t="shared" si="6"/>
        <v>29.52</v>
      </c>
      <c r="AM24" s="525">
        <f t="shared" si="6"/>
        <v>29.52</v>
      </c>
      <c r="AN24" s="525">
        <f t="shared" si="6"/>
        <v>29.52</v>
      </c>
      <c r="AO24" s="525">
        <f t="shared" si="6"/>
        <v>29.52</v>
      </c>
      <c r="AP24" s="526">
        <f t="shared" si="6"/>
        <v>29.52</v>
      </c>
      <c r="AQ24" s="527">
        <f t="shared" si="6"/>
        <v>0</v>
      </c>
    </row>
    <row r="25" spans="1:43" s="17" customFormat="1" x14ac:dyDescent="0.2">
      <c r="A25" s="515" t="s">
        <v>127</v>
      </c>
      <c r="B25" s="520">
        <f>B21*$B$5+SUM(B23:B24)</f>
        <v>29.4</v>
      </c>
      <c r="C25" s="520">
        <f t="shared" ref="C25:AP25" si="7">C21*$B$5+SUM(C23:C24)</f>
        <v>29.4</v>
      </c>
      <c r="D25" s="520">
        <f t="shared" si="7"/>
        <v>29.4</v>
      </c>
      <c r="E25" s="520">
        <f t="shared" si="7"/>
        <v>29.4</v>
      </c>
      <c r="F25" s="520">
        <f t="shared" si="7"/>
        <v>29.4</v>
      </c>
      <c r="G25" s="520">
        <f t="shared" si="7"/>
        <v>29.4</v>
      </c>
      <c r="H25" s="520">
        <f t="shared" si="7"/>
        <v>32.14</v>
      </c>
      <c r="I25" s="520">
        <f t="shared" si="7"/>
        <v>34.879999999999995</v>
      </c>
      <c r="J25" s="520">
        <f t="shared" si="7"/>
        <v>37.619999999999997</v>
      </c>
      <c r="K25" s="520">
        <f t="shared" si="7"/>
        <v>40.359999999999992</v>
      </c>
      <c r="L25" s="520">
        <f t="shared" si="7"/>
        <v>40.359999999999992</v>
      </c>
      <c r="M25" s="520">
        <f t="shared" si="7"/>
        <v>40.359999999999992</v>
      </c>
      <c r="N25" s="520">
        <f t="shared" si="7"/>
        <v>40.359999999999992</v>
      </c>
      <c r="O25" s="520">
        <f t="shared" si="7"/>
        <v>40.359999999999992</v>
      </c>
      <c r="P25" s="520">
        <f t="shared" si="7"/>
        <v>40.359999999999992</v>
      </c>
      <c r="Q25" s="520">
        <f t="shared" si="7"/>
        <v>23.92</v>
      </c>
      <c r="R25" s="520">
        <f t="shared" si="7"/>
        <v>75.36</v>
      </c>
      <c r="S25" s="520">
        <f t="shared" si="7"/>
        <v>75.36</v>
      </c>
      <c r="T25" s="520">
        <f t="shared" si="7"/>
        <v>75.36</v>
      </c>
      <c r="U25" s="520">
        <f t="shared" si="7"/>
        <v>75.36</v>
      </c>
      <c r="V25" s="520">
        <f t="shared" si="7"/>
        <v>75.36</v>
      </c>
      <c r="W25" s="520">
        <f t="shared" si="7"/>
        <v>69.88</v>
      </c>
      <c r="X25" s="520">
        <f t="shared" si="7"/>
        <v>23.92</v>
      </c>
      <c r="Y25" s="520">
        <f t="shared" si="7"/>
        <v>34.879999999999995</v>
      </c>
      <c r="Z25" s="520">
        <f t="shared" si="7"/>
        <v>34.879999999999995</v>
      </c>
      <c r="AA25" s="520">
        <f t="shared" si="7"/>
        <v>34.879999999999995</v>
      </c>
      <c r="AB25" s="521">
        <f t="shared" si="7"/>
        <v>34.879999999999995</v>
      </c>
      <c r="AC25" s="106">
        <f t="shared" si="7"/>
        <v>58.92</v>
      </c>
      <c r="AD25" s="521">
        <f t="shared" si="7"/>
        <v>61.66</v>
      </c>
      <c r="AE25" s="521">
        <f t="shared" si="7"/>
        <v>64.399999999999991</v>
      </c>
      <c r="AF25" s="521">
        <f t="shared" si="7"/>
        <v>67.14</v>
      </c>
      <c r="AG25" s="521">
        <f t="shared" si="7"/>
        <v>69.88</v>
      </c>
      <c r="AH25" s="521">
        <f t="shared" si="7"/>
        <v>69.88</v>
      </c>
      <c r="AI25" s="521">
        <f t="shared" si="7"/>
        <v>69.88</v>
      </c>
      <c r="AJ25" s="521">
        <f t="shared" si="7"/>
        <v>69.88</v>
      </c>
      <c r="AK25" s="521">
        <f t="shared" si="7"/>
        <v>69.88</v>
      </c>
      <c r="AL25" s="521">
        <f t="shared" si="7"/>
        <v>69.88</v>
      </c>
      <c r="AM25" s="521">
        <f t="shared" si="7"/>
        <v>64.399999999999991</v>
      </c>
      <c r="AN25" s="521">
        <f t="shared" si="7"/>
        <v>64.399999999999991</v>
      </c>
      <c r="AO25" s="521">
        <f t="shared" si="7"/>
        <v>64.399999999999991</v>
      </c>
      <c r="AP25" s="522">
        <f t="shared" si="7"/>
        <v>64.399999999999991</v>
      </c>
      <c r="AQ25" s="523">
        <f t="shared" ref="AQ25" si="8">AQ21*$B$5+SUM(AQ23:AQ24)</f>
        <v>23.92</v>
      </c>
    </row>
    <row r="26" spans="1:43" s="17" customFormat="1" x14ac:dyDescent="0.2">
      <c r="A26" s="18" t="s">
        <v>128</v>
      </c>
      <c r="B26" s="19">
        <f t="shared" ref="B26:AQ26" si="9">-IF(ISBLANK(B101),0,MIN(B$22*$H$10,B$22-$B$7*$H$9))</f>
        <v>-5.4799999999999969</v>
      </c>
      <c r="C26" s="19">
        <f t="shared" si="9"/>
        <v>-5.4799999999999969</v>
      </c>
      <c r="D26" s="19">
        <f t="shared" si="9"/>
        <v>-5.4799999999999969</v>
      </c>
      <c r="E26" s="19">
        <f t="shared" si="9"/>
        <v>0</v>
      </c>
      <c r="F26" s="19">
        <f t="shared" si="9"/>
        <v>-5.4799999999999969</v>
      </c>
      <c r="G26" s="19">
        <f t="shared" si="9"/>
        <v>-5.4799999999999969</v>
      </c>
      <c r="H26" s="19">
        <f t="shared" si="9"/>
        <v>-8.2199999999999989</v>
      </c>
      <c r="I26" s="19">
        <f t="shared" si="9"/>
        <v>-9.4365599999999983</v>
      </c>
      <c r="J26" s="19">
        <f t="shared" si="9"/>
        <v>0</v>
      </c>
      <c r="K26" s="19">
        <f t="shared" si="9"/>
        <v>0</v>
      </c>
      <c r="L26" s="19">
        <f t="shared" si="9"/>
        <v>0</v>
      </c>
      <c r="M26" s="19">
        <f t="shared" si="9"/>
        <v>0</v>
      </c>
      <c r="N26" s="19">
        <f t="shared" si="9"/>
        <v>-11.009319999999997</v>
      </c>
      <c r="O26" s="19">
        <f t="shared" si="9"/>
        <v>-11.009319999999997</v>
      </c>
      <c r="P26" s="19">
        <f t="shared" si="9"/>
        <v>0</v>
      </c>
      <c r="Q26" s="19">
        <f t="shared" si="9"/>
        <v>0</v>
      </c>
      <c r="R26" s="19">
        <f t="shared" si="9"/>
        <v>0</v>
      </c>
      <c r="S26" s="19">
        <f t="shared" si="9"/>
        <v>0</v>
      </c>
      <c r="T26" s="19">
        <f t="shared" si="9"/>
        <v>0</v>
      </c>
      <c r="U26" s="19">
        <f t="shared" si="9"/>
        <v>0</v>
      </c>
      <c r="V26" s="19">
        <f t="shared" si="9"/>
        <v>0</v>
      </c>
      <c r="W26" s="19">
        <f t="shared" si="9"/>
        <v>0</v>
      </c>
      <c r="X26" s="19">
        <f t="shared" si="9"/>
        <v>0</v>
      </c>
      <c r="Y26" s="19">
        <f t="shared" si="9"/>
        <v>-9.4365599999999983</v>
      </c>
      <c r="Z26" s="19">
        <f t="shared" si="9"/>
        <v>-9.4365599999999983</v>
      </c>
      <c r="AA26" s="19">
        <f t="shared" si="9"/>
        <v>-9.4365599999999983</v>
      </c>
      <c r="AB26" s="84">
        <f t="shared" si="9"/>
        <v>-9.4365599999999983</v>
      </c>
      <c r="AC26" s="108">
        <f t="shared" si="9"/>
        <v>0</v>
      </c>
      <c r="AD26" s="84">
        <f t="shared" si="9"/>
        <v>0</v>
      </c>
      <c r="AE26" s="84">
        <f t="shared" si="9"/>
        <v>0</v>
      </c>
      <c r="AF26" s="84">
        <f t="shared" si="9"/>
        <v>0</v>
      </c>
      <c r="AG26" s="84">
        <f t="shared" si="9"/>
        <v>0</v>
      </c>
      <c r="AH26" s="84">
        <f t="shared" si="9"/>
        <v>0</v>
      </c>
      <c r="AI26" s="84">
        <f t="shared" si="9"/>
        <v>0</v>
      </c>
      <c r="AJ26" s="84">
        <f t="shared" si="9"/>
        <v>0</v>
      </c>
      <c r="AK26" s="84">
        <f t="shared" si="9"/>
        <v>0</v>
      </c>
      <c r="AL26" s="84">
        <f t="shared" si="9"/>
        <v>0</v>
      </c>
      <c r="AM26" s="84">
        <f t="shared" si="9"/>
        <v>0</v>
      </c>
      <c r="AN26" s="84">
        <f t="shared" si="9"/>
        <v>0</v>
      </c>
      <c r="AO26" s="84">
        <f t="shared" si="9"/>
        <v>0</v>
      </c>
      <c r="AP26" s="109">
        <f t="shared" si="9"/>
        <v>0</v>
      </c>
      <c r="AQ26" s="117">
        <f t="shared" si="9"/>
        <v>0</v>
      </c>
    </row>
    <row r="27" spans="1:43" s="17" customFormat="1" x14ac:dyDescent="0.2">
      <c r="A27" s="515" t="s">
        <v>129</v>
      </c>
      <c r="B27" s="19">
        <f t="shared" ref="B27:AQ27" si="10">SUM(B25:B26)</f>
        <v>23.92</v>
      </c>
      <c r="C27" s="19">
        <f t="shared" si="10"/>
        <v>23.92</v>
      </c>
      <c r="D27" s="19">
        <f t="shared" si="10"/>
        <v>23.92</v>
      </c>
      <c r="E27" s="19">
        <f t="shared" si="10"/>
        <v>29.4</v>
      </c>
      <c r="F27" s="19">
        <f t="shared" si="10"/>
        <v>23.92</v>
      </c>
      <c r="G27" s="19">
        <f t="shared" si="10"/>
        <v>23.92</v>
      </c>
      <c r="H27" s="19">
        <f t="shared" si="10"/>
        <v>23.92</v>
      </c>
      <c r="I27" s="19">
        <f t="shared" si="10"/>
        <v>25.443439999999995</v>
      </c>
      <c r="J27" s="19">
        <f t="shared" si="10"/>
        <v>37.619999999999997</v>
      </c>
      <c r="K27" s="19">
        <f t="shared" si="10"/>
        <v>40.359999999999992</v>
      </c>
      <c r="L27" s="19">
        <f t="shared" si="10"/>
        <v>40.359999999999992</v>
      </c>
      <c r="M27" s="19">
        <f t="shared" si="10"/>
        <v>40.359999999999992</v>
      </c>
      <c r="N27" s="19">
        <f t="shared" si="10"/>
        <v>29.350679999999997</v>
      </c>
      <c r="O27" s="19">
        <f t="shared" si="10"/>
        <v>29.350679999999997</v>
      </c>
      <c r="P27" s="19">
        <f t="shared" si="10"/>
        <v>40.359999999999992</v>
      </c>
      <c r="Q27" s="19">
        <f t="shared" si="10"/>
        <v>23.92</v>
      </c>
      <c r="R27" s="19">
        <f t="shared" si="10"/>
        <v>75.36</v>
      </c>
      <c r="S27" s="19">
        <f t="shared" si="10"/>
        <v>75.36</v>
      </c>
      <c r="T27" s="19">
        <f t="shared" si="10"/>
        <v>75.36</v>
      </c>
      <c r="U27" s="19">
        <f t="shared" si="10"/>
        <v>75.36</v>
      </c>
      <c r="V27" s="19">
        <f t="shared" si="10"/>
        <v>75.36</v>
      </c>
      <c r="W27" s="19">
        <f t="shared" si="10"/>
        <v>69.88</v>
      </c>
      <c r="X27" s="19">
        <f t="shared" si="10"/>
        <v>23.92</v>
      </c>
      <c r="Y27" s="19">
        <f t="shared" si="10"/>
        <v>25.443439999999995</v>
      </c>
      <c r="Z27" s="19">
        <f t="shared" si="10"/>
        <v>25.443439999999995</v>
      </c>
      <c r="AA27" s="19">
        <f t="shared" si="10"/>
        <v>25.443439999999995</v>
      </c>
      <c r="AB27" s="84">
        <f t="shared" si="10"/>
        <v>25.443439999999995</v>
      </c>
      <c r="AC27" s="108">
        <f t="shared" si="10"/>
        <v>58.92</v>
      </c>
      <c r="AD27" s="84">
        <f t="shared" si="10"/>
        <v>61.66</v>
      </c>
      <c r="AE27" s="84">
        <f t="shared" si="10"/>
        <v>64.399999999999991</v>
      </c>
      <c r="AF27" s="84">
        <f t="shared" si="10"/>
        <v>67.14</v>
      </c>
      <c r="AG27" s="84">
        <f t="shared" si="10"/>
        <v>69.88</v>
      </c>
      <c r="AH27" s="84">
        <f t="shared" si="10"/>
        <v>69.88</v>
      </c>
      <c r="AI27" s="84">
        <f t="shared" si="10"/>
        <v>69.88</v>
      </c>
      <c r="AJ27" s="84">
        <f t="shared" si="10"/>
        <v>69.88</v>
      </c>
      <c r="AK27" s="84">
        <f t="shared" si="10"/>
        <v>69.88</v>
      </c>
      <c r="AL27" s="84">
        <f t="shared" si="10"/>
        <v>69.88</v>
      </c>
      <c r="AM27" s="84">
        <f t="shared" si="10"/>
        <v>64.399999999999991</v>
      </c>
      <c r="AN27" s="84">
        <f t="shared" si="10"/>
        <v>64.399999999999991</v>
      </c>
      <c r="AO27" s="84">
        <f t="shared" si="10"/>
        <v>64.399999999999991</v>
      </c>
      <c r="AP27" s="109">
        <f t="shared" si="10"/>
        <v>64.399999999999991</v>
      </c>
      <c r="AQ27" s="117">
        <f t="shared" si="10"/>
        <v>23.92</v>
      </c>
    </row>
    <row r="28" spans="1:43" s="17" customFormat="1" x14ac:dyDescent="0.2">
      <c r="A28" s="18" t="s">
        <v>130</v>
      </c>
      <c r="B28" s="19">
        <f>AVERAGE(AA22:AB22,B22)</f>
        <v>31.053333333333331</v>
      </c>
      <c r="C28" s="19">
        <f>AVERAGE(AB22,B22:C22)</f>
        <v>29.226666666666663</v>
      </c>
      <c r="D28" s="19">
        <f t="shared" ref="D28:AP28" si="11">AVERAGE(B22:D22)</f>
        <v>27.399999999999995</v>
      </c>
      <c r="E28" s="19">
        <f t="shared" si="11"/>
        <v>27.399999999999995</v>
      </c>
      <c r="F28" s="19">
        <f t="shared" si="11"/>
        <v>27.399999999999995</v>
      </c>
      <c r="G28" s="19">
        <f t="shared" si="11"/>
        <v>27.399999999999995</v>
      </c>
      <c r="H28" s="19">
        <f t="shared" si="11"/>
        <v>28.313333333333333</v>
      </c>
      <c r="I28" s="19">
        <f t="shared" si="11"/>
        <v>30.139999999999997</v>
      </c>
      <c r="J28" s="19">
        <f t="shared" si="11"/>
        <v>32.879999999999995</v>
      </c>
      <c r="K28" s="19">
        <f t="shared" si="11"/>
        <v>35.619999999999997</v>
      </c>
      <c r="L28" s="19">
        <f t="shared" si="11"/>
        <v>37.446666666666658</v>
      </c>
      <c r="M28" s="19">
        <f t="shared" si="11"/>
        <v>38.359999999999992</v>
      </c>
      <c r="N28" s="19">
        <f t="shared" si="11"/>
        <v>38.359999999999992</v>
      </c>
      <c r="O28" s="19">
        <f t="shared" si="11"/>
        <v>38.359999999999992</v>
      </c>
      <c r="P28" s="19">
        <f t="shared" si="11"/>
        <v>38.359999999999992</v>
      </c>
      <c r="Q28" s="19">
        <f t="shared" si="11"/>
        <v>32.879999999999995</v>
      </c>
      <c r="R28" s="19">
        <f t="shared" si="11"/>
        <v>34.706666666666671</v>
      </c>
      <c r="S28" s="19">
        <f t="shared" si="11"/>
        <v>36.533333333333339</v>
      </c>
      <c r="T28" s="19">
        <f t="shared" si="11"/>
        <v>43.84</v>
      </c>
      <c r="U28" s="19">
        <f t="shared" si="11"/>
        <v>43.84</v>
      </c>
      <c r="V28" s="19">
        <f t="shared" si="11"/>
        <v>43.84</v>
      </c>
      <c r="W28" s="19">
        <f t="shared" si="11"/>
        <v>42.013333333333328</v>
      </c>
      <c r="X28" s="19">
        <f t="shared" si="11"/>
        <v>34.706666666666663</v>
      </c>
      <c r="Y28" s="19">
        <f t="shared" si="11"/>
        <v>31.053333333333331</v>
      </c>
      <c r="Z28" s="19">
        <f t="shared" si="11"/>
        <v>29.226666666666663</v>
      </c>
      <c r="AA28" s="19">
        <f t="shared" si="11"/>
        <v>32.879999999999995</v>
      </c>
      <c r="AB28" s="84">
        <f t="shared" si="11"/>
        <v>32.879999999999995</v>
      </c>
      <c r="AC28" s="108">
        <f t="shared" si="11"/>
        <v>31.053333333333331</v>
      </c>
      <c r="AD28" s="84">
        <f t="shared" si="11"/>
        <v>30.139999999999997</v>
      </c>
      <c r="AE28" s="84">
        <f t="shared" si="11"/>
        <v>30.139999999999997</v>
      </c>
      <c r="AF28" s="84">
        <f t="shared" si="11"/>
        <v>32.879999999999995</v>
      </c>
      <c r="AG28" s="84">
        <f t="shared" si="11"/>
        <v>35.619999999999997</v>
      </c>
      <c r="AH28" s="84">
        <f t="shared" si="11"/>
        <v>37.446666666666658</v>
      </c>
      <c r="AI28" s="84">
        <f t="shared" si="11"/>
        <v>38.359999999999992</v>
      </c>
      <c r="AJ28" s="84">
        <f t="shared" si="11"/>
        <v>38.359999999999992</v>
      </c>
      <c r="AK28" s="84">
        <f t="shared" si="11"/>
        <v>38.359999999999992</v>
      </c>
      <c r="AL28" s="84">
        <f t="shared" si="11"/>
        <v>38.359999999999992</v>
      </c>
      <c r="AM28" s="84">
        <f t="shared" si="11"/>
        <v>36.533333333333324</v>
      </c>
      <c r="AN28" s="84">
        <f t="shared" si="11"/>
        <v>34.706666666666656</v>
      </c>
      <c r="AO28" s="84">
        <f t="shared" si="11"/>
        <v>32.879999999999995</v>
      </c>
      <c r="AP28" s="109">
        <f t="shared" si="11"/>
        <v>32.879999999999995</v>
      </c>
      <c r="AQ28" s="117" t="s">
        <v>131</v>
      </c>
    </row>
    <row r="29" spans="1:43" x14ac:dyDescent="0.2">
      <c r="A29" s="245" t="s">
        <v>132</v>
      </c>
      <c r="B29" s="656"/>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2"/>
      <c r="AD29" s="243"/>
      <c r="AE29" s="243"/>
      <c r="AF29" s="243"/>
      <c r="AG29" s="243"/>
      <c r="AH29" s="243"/>
      <c r="AI29" s="243"/>
      <c r="AJ29" s="243"/>
      <c r="AK29" s="243"/>
      <c r="AL29" s="243"/>
      <c r="AM29" s="243"/>
      <c r="AN29" s="243"/>
      <c r="AO29" s="243"/>
      <c r="AP29" s="244"/>
      <c r="AQ29" s="117"/>
    </row>
    <row r="30" spans="1:43" s="17" customFormat="1" x14ac:dyDescent="0.2">
      <c r="A30" s="18" t="s">
        <v>133</v>
      </c>
      <c r="B30" s="654">
        <f t="shared" ref="B30:AQ30" si="12">IF(ISBLANK(B101),0,$B$11)</f>
        <v>7.2</v>
      </c>
      <c r="C30" s="654">
        <f t="shared" si="12"/>
        <v>7.2</v>
      </c>
      <c r="D30" s="654">
        <f t="shared" si="12"/>
        <v>7.2</v>
      </c>
      <c r="E30" s="654">
        <f t="shared" si="12"/>
        <v>0</v>
      </c>
      <c r="F30" s="654">
        <f t="shared" si="12"/>
        <v>7.2</v>
      </c>
      <c r="G30" s="654">
        <f t="shared" si="12"/>
        <v>7.2</v>
      </c>
      <c r="H30" s="654">
        <f t="shared" si="12"/>
        <v>7.2</v>
      </c>
      <c r="I30" s="654">
        <f t="shared" si="12"/>
        <v>7.2</v>
      </c>
      <c r="J30" s="654">
        <f t="shared" si="12"/>
        <v>0</v>
      </c>
      <c r="K30" s="654">
        <f t="shared" si="12"/>
        <v>0</v>
      </c>
      <c r="L30" s="654">
        <f t="shared" si="12"/>
        <v>0</v>
      </c>
      <c r="M30" s="654">
        <f t="shared" si="12"/>
        <v>0</v>
      </c>
      <c r="N30" s="654">
        <f t="shared" si="12"/>
        <v>7.2</v>
      </c>
      <c r="O30" s="654">
        <f t="shared" si="12"/>
        <v>7.2</v>
      </c>
      <c r="P30" s="654">
        <f t="shared" si="12"/>
        <v>0</v>
      </c>
      <c r="Q30" s="654">
        <f t="shared" si="12"/>
        <v>0</v>
      </c>
      <c r="R30" s="654">
        <f t="shared" si="12"/>
        <v>0</v>
      </c>
      <c r="S30" s="654">
        <f t="shared" si="12"/>
        <v>0</v>
      </c>
      <c r="T30" s="654">
        <f t="shared" si="12"/>
        <v>0</v>
      </c>
      <c r="U30" s="654">
        <f t="shared" si="12"/>
        <v>0</v>
      </c>
      <c r="V30" s="654">
        <f t="shared" si="12"/>
        <v>0</v>
      </c>
      <c r="W30" s="654">
        <f t="shared" si="12"/>
        <v>0</v>
      </c>
      <c r="X30" s="654">
        <f t="shared" si="12"/>
        <v>0</v>
      </c>
      <c r="Y30" s="654">
        <f t="shared" si="12"/>
        <v>7.2</v>
      </c>
      <c r="Z30" s="654">
        <f t="shared" si="12"/>
        <v>7.2</v>
      </c>
      <c r="AA30" s="654">
        <f t="shared" si="12"/>
        <v>7.2</v>
      </c>
      <c r="AB30" s="655">
        <f t="shared" si="12"/>
        <v>7.2</v>
      </c>
      <c r="AC30" s="258">
        <f t="shared" si="12"/>
        <v>0</v>
      </c>
      <c r="AD30" s="654">
        <f t="shared" si="12"/>
        <v>0</v>
      </c>
      <c r="AE30" s="654">
        <f t="shared" si="12"/>
        <v>0</v>
      </c>
      <c r="AF30" s="654">
        <f t="shared" si="12"/>
        <v>0</v>
      </c>
      <c r="AG30" s="654">
        <f t="shared" si="12"/>
        <v>0</v>
      </c>
      <c r="AH30" s="654">
        <f t="shared" si="12"/>
        <v>0</v>
      </c>
      <c r="AI30" s="654">
        <f t="shared" si="12"/>
        <v>0</v>
      </c>
      <c r="AJ30" s="654">
        <f t="shared" si="12"/>
        <v>0</v>
      </c>
      <c r="AK30" s="654">
        <f t="shared" si="12"/>
        <v>0</v>
      </c>
      <c r="AL30" s="654">
        <f t="shared" si="12"/>
        <v>0</v>
      </c>
      <c r="AM30" s="654">
        <f t="shared" si="12"/>
        <v>0</v>
      </c>
      <c r="AN30" s="654">
        <f t="shared" si="12"/>
        <v>0</v>
      </c>
      <c r="AO30" s="654">
        <f t="shared" si="12"/>
        <v>0</v>
      </c>
      <c r="AP30" s="657">
        <f t="shared" si="12"/>
        <v>0</v>
      </c>
      <c r="AQ30" s="682">
        <f t="shared" si="12"/>
        <v>7.2</v>
      </c>
    </row>
    <row r="31" spans="1:43" s="17" customFormat="1" ht="12.75" x14ac:dyDescent="0.2">
      <c r="A31" s="528" t="s">
        <v>134</v>
      </c>
      <c r="B31" s="529"/>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93"/>
      <c r="AD31" s="30"/>
      <c r="AE31" s="30"/>
      <c r="AF31" s="30"/>
      <c r="AG31" s="30"/>
      <c r="AH31" s="30"/>
      <c r="AI31" s="30"/>
      <c r="AJ31" s="30"/>
      <c r="AK31" s="30"/>
      <c r="AL31" s="30"/>
      <c r="AM31" s="30"/>
      <c r="AN31" s="30"/>
      <c r="AO31" s="30"/>
      <c r="AP31" s="94"/>
      <c r="AQ31" s="531"/>
    </row>
    <row r="32" spans="1:43" s="17" customFormat="1" x14ac:dyDescent="0.2">
      <c r="A32" s="488" t="s">
        <v>135</v>
      </c>
      <c r="B32" s="508">
        <v>0.7</v>
      </c>
      <c r="C32" s="508">
        <v>0.7</v>
      </c>
      <c r="D32" s="508">
        <v>0.7</v>
      </c>
      <c r="E32" s="508">
        <v>0.7</v>
      </c>
      <c r="F32" s="508">
        <v>0.7</v>
      </c>
      <c r="G32" s="508">
        <v>0.7</v>
      </c>
      <c r="H32" s="508">
        <v>0.8</v>
      </c>
      <c r="I32" s="508">
        <v>0.8</v>
      </c>
      <c r="J32" s="508">
        <v>0.8</v>
      </c>
      <c r="K32" s="508">
        <v>0.9</v>
      </c>
      <c r="L32" s="508">
        <v>0.9</v>
      </c>
      <c r="M32" s="508">
        <v>0.9</v>
      </c>
      <c r="N32" s="508">
        <v>1</v>
      </c>
      <c r="O32" s="508">
        <v>1</v>
      </c>
      <c r="P32" s="508">
        <v>1</v>
      </c>
      <c r="Q32" s="508">
        <v>1</v>
      </c>
      <c r="R32" s="508">
        <v>1</v>
      </c>
      <c r="S32" s="508">
        <v>1</v>
      </c>
      <c r="T32" s="508">
        <v>1</v>
      </c>
      <c r="U32" s="508">
        <v>1</v>
      </c>
      <c r="V32" s="508">
        <v>1</v>
      </c>
      <c r="W32" s="508">
        <v>1</v>
      </c>
      <c r="X32" s="508">
        <v>1</v>
      </c>
      <c r="Y32" s="508">
        <v>1</v>
      </c>
      <c r="Z32" s="508">
        <v>1</v>
      </c>
      <c r="AA32" s="508">
        <v>1</v>
      </c>
      <c r="AB32" s="509">
        <v>1</v>
      </c>
      <c r="AC32" s="92">
        <v>0.7</v>
      </c>
      <c r="AD32" s="508">
        <v>0.8</v>
      </c>
      <c r="AE32" s="508">
        <v>0.8</v>
      </c>
      <c r="AF32" s="508">
        <v>0.8</v>
      </c>
      <c r="AG32" s="508">
        <v>0.9</v>
      </c>
      <c r="AH32" s="508">
        <v>0.9</v>
      </c>
      <c r="AI32" s="508">
        <v>0.9</v>
      </c>
      <c r="AJ32" s="508">
        <v>1</v>
      </c>
      <c r="AK32" s="508">
        <v>1</v>
      </c>
      <c r="AL32" s="508">
        <v>1</v>
      </c>
      <c r="AM32" s="508">
        <v>0.8</v>
      </c>
      <c r="AN32" s="508">
        <v>0.8</v>
      </c>
      <c r="AO32" s="508">
        <v>0.8</v>
      </c>
      <c r="AP32" s="510">
        <v>0.8</v>
      </c>
      <c r="AQ32" s="511">
        <v>0.7</v>
      </c>
    </row>
    <row r="33" spans="1:43" x14ac:dyDescent="0.2">
      <c r="A33" s="488" t="s">
        <v>136</v>
      </c>
      <c r="B33" s="532">
        <f t="shared" ref="B33:G33" si="13">B32*0.8</f>
        <v>0.55999999999999994</v>
      </c>
      <c r="C33" s="532">
        <f t="shared" si="13"/>
        <v>0.55999999999999994</v>
      </c>
      <c r="D33" s="532">
        <f t="shared" si="13"/>
        <v>0.55999999999999994</v>
      </c>
      <c r="E33" s="532">
        <f t="shared" si="13"/>
        <v>0.55999999999999994</v>
      </c>
      <c r="F33" s="532">
        <f t="shared" si="13"/>
        <v>0.55999999999999994</v>
      </c>
      <c r="G33" s="532">
        <f t="shared" si="13"/>
        <v>0.55999999999999994</v>
      </c>
      <c r="H33" s="532">
        <f t="shared" ref="H33:AQ33" si="14">H32*0.8</f>
        <v>0.64000000000000012</v>
      </c>
      <c r="I33" s="532">
        <f t="shared" si="14"/>
        <v>0.64000000000000012</v>
      </c>
      <c r="J33" s="532">
        <f t="shared" si="14"/>
        <v>0.64000000000000012</v>
      </c>
      <c r="K33" s="532">
        <f t="shared" si="14"/>
        <v>0.72000000000000008</v>
      </c>
      <c r="L33" s="532">
        <f t="shared" si="14"/>
        <v>0.72000000000000008</v>
      </c>
      <c r="M33" s="532">
        <f t="shared" si="14"/>
        <v>0.72000000000000008</v>
      </c>
      <c r="N33" s="532">
        <f t="shared" si="14"/>
        <v>0.8</v>
      </c>
      <c r="O33" s="532">
        <f t="shared" si="14"/>
        <v>0.8</v>
      </c>
      <c r="P33" s="532">
        <f t="shared" si="14"/>
        <v>0.8</v>
      </c>
      <c r="Q33" s="532">
        <f t="shared" si="14"/>
        <v>0.8</v>
      </c>
      <c r="R33" s="532">
        <f t="shared" si="14"/>
        <v>0.8</v>
      </c>
      <c r="S33" s="532">
        <f t="shared" si="14"/>
        <v>0.8</v>
      </c>
      <c r="T33" s="532">
        <f t="shared" si="14"/>
        <v>0.8</v>
      </c>
      <c r="U33" s="532">
        <f t="shared" si="14"/>
        <v>0.8</v>
      </c>
      <c r="V33" s="532">
        <f t="shared" si="14"/>
        <v>0.8</v>
      </c>
      <c r="W33" s="532">
        <f t="shared" si="14"/>
        <v>0.8</v>
      </c>
      <c r="X33" s="532">
        <f t="shared" si="14"/>
        <v>0.8</v>
      </c>
      <c r="Y33" s="532">
        <f t="shared" si="14"/>
        <v>0.8</v>
      </c>
      <c r="Z33" s="532">
        <f t="shared" si="14"/>
        <v>0.8</v>
      </c>
      <c r="AA33" s="532">
        <f t="shared" si="14"/>
        <v>0.8</v>
      </c>
      <c r="AB33" s="533">
        <f t="shared" si="14"/>
        <v>0.8</v>
      </c>
      <c r="AC33" s="365">
        <f t="shared" si="14"/>
        <v>0.55999999999999994</v>
      </c>
      <c r="AD33" s="532">
        <f t="shared" si="14"/>
        <v>0.64000000000000012</v>
      </c>
      <c r="AE33" s="532">
        <f t="shared" si="14"/>
        <v>0.64000000000000012</v>
      </c>
      <c r="AF33" s="532">
        <f t="shared" si="14"/>
        <v>0.64000000000000012</v>
      </c>
      <c r="AG33" s="532">
        <f t="shared" si="14"/>
        <v>0.72000000000000008</v>
      </c>
      <c r="AH33" s="532">
        <f t="shared" si="14"/>
        <v>0.72000000000000008</v>
      </c>
      <c r="AI33" s="532">
        <f t="shared" si="14"/>
        <v>0.72000000000000008</v>
      </c>
      <c r="AJ33" s="532">
        <f t="shared" si="14"/>
        <v>0.8</v>
      </c>
      <c r="AK33" s="532">
        <f t="shared" si="14"/>
        <v>0.8</v>
      </c>
      <c r="AL33" s="532">
        <f t="shared" si="14"/>
        <v>0.8</v>
      </c>
      <c r="AM33" s="532">
        <f t="shared" si="14"/>
        <v>0.64000000000000012</v>
      </c>
      <c r="AN33" s="532">
        <f t="shared" si="14"/>
        <v>0.64000000000000012</v>
      </c>
      <c r="AO33" s="532">
        <f t="shared" si="14"/>
        <v>0.64000000000000012</v>
      </c>
      <c r="AP33" s="683">
        <f t="shared" si="14"/>
        <v>0.64000000000000012</v>
      </c>
      <c r="AQ33" s="684">
        <f t="shared" si="14"/>
        <v>0.55999999999999994</v>
      </c>
    </row>
    <row r="34" spans="1:43" x14ac:dyDescent="0.2">
      <c r="A34" s="488" t="s">
        <v>137</v>
      </c>
      <c r="B34" s="532">
        <f>((B36*$B$125)/$B$2)</f>
        <v>0.47518015118500584</v>
      </c>
      <c r="C34" s="532">
        <f t="shared" ref="C34:AQ34" si="15">((C36*$B$125)/$B$2)</f>
        <v>0.47518015118500584</v>
      </c>
      <c r="D34" s="532">
        <f t="shared" si="15"/>
        <v>0.47518015118500584</v>
      </c>
      <c r="E34" s="532">
        <f t="shared" si="15"/>
        <v>0.47518015118500584</v>
      </c>
      <c r="F34" s="532">
        <f t="shared" si="15"/>
        <v>0.47518015118500584</v>
      </c>
      <c r="G34" s="532">
        <f t="shared" si="15"/>
        <v>0.47518015118500584</v>
      </c>
      <c r="H34" s="532">
        <f t="shared" si="15"/>
        <v>0.54306302992572097</v>
      </c>
      <c r="I34" s="532">
        <f t="shared" si="15"/>
        <v>0.54306302992572097</v>
      </c>
      <c r="J34" s="532">
        <f t="shared" si="15"/>
        <v>0.54306302992572097</v>
      </c>
      <c r="K34" s="532">
        <f t="shared" si="15"/>
        <v>0.61094590866643605</v>
      </c>
      <c r="L34" s="532">
        <f t="shared" si="15"/>
        <v>0.61094590866643605</v>
      </c>
      <c r="M34" s="532">
        <f t="shared" si="15"/>
        <v>0.61094590866643605</v>
      </c>
      <c r="N34" s="532">
        <f t="shared" si="15"/>
        <v>0.67882878740715125</v>
      </c>
      <c r="O34" s="532">
        <f t="shared" si="15"/>
        <v>0.67882878740715125</v>
      </c>
      <c r="P34" s="532">
        <f t="shared" si="15"/>
        <v>0.67882878740715125</v>
      </c>
      <c r="Q34" s="532">
        <f t="shared" si="15"/>
        <v>0.67882878740715125</v>
      </c>
      <c r="R34" s="532">
        <f t="shared" si="15"/>
        <v>0.67882878740715125</v>
      </c>
      <c r="S34" s="532">
        <f t="shared" si="15"/>
        <v>0.67882878740715125</v>
      </c>
      <c r="T34" s="532">
        <f t="shared" si="15"/>
        <v>0.67882878740715125</v>
      </c>
      <c r="U34" s="532">
        <f t="shared" si="15"/>
        <v>0.67882878740715125</v>
      </c>
      <c r="V34" s="532">
        <f t="shared" si="15"/>
        <v>0.67882878740715125</v>
      </c>
      <c r="W34" s="532">
        <f t="shared" si="15"/>
        <v>0.67882878740715125</v>
      </c>
      <c r="X34" s="532">
        <f t="shared" si="15"/>
        <v>0.67882878740715125</v>
      </c>
      <c r="Y34" s="532">
        <f t="shared" si="15"/>
        <v>0.67882878740715125</v>
      </c>
      <c r="Z34" s="532">
        <f t="shared" si="15"/>
        <v>0.67882878740715125</v>
      </c>
      <c r="AA34" s="532">
        <f t="shared" si="15"/>
        <v>0.67882878740715125</v>
      </c>
      <c r="AB34" s="533">
        <f t="shared" si="15"/>
        <v>0.67882878740715125</v>
      </c>
      <c r="AC34" s="365">
        <f t="shared" si="15"/>
        <v>0.47518015118500584</v>
      </c>
      <c r="AD34" s="532">
        <f t="shared" si="15"/>
        <v>0.54306302992572097</v>
      </c>
      <c r="AE34" s="532">
        <f t="shared" si="15"/>
        <v>0.54306302992572097</v>
      </c>
      <c r="AF34" s="532">
        <f t="shared" si="15"/>
        <v>0.54306302992572097</v>
      </c>
      <c r="AG34" s="532">
        <f t="shared" si="15"/>
        <v>0.61094590866643605</v>
      </c>
      <c r="AH34" s="532">
        <f t="shared" si="15"/>
        <v>0.61094590866643605</v>
      </c>
      <c r="AI34" s="532">
        <f t="shared" si="15"/>
        <v>0.61094590866643605</v>
      </c>
      <c r="AJ34" s="532">
        <f t="shared" si="15"/>
        <v>0.67882878740715125</v>
      </c>
      <c r="AK34" s="532">
        <f t="shared" si="15"/>
        <v>0.67882878740715125</v>
      </c>
      <c r="AL34" s="532">
        <f t="shared" si="15"/>
        <v>0.67882878740715125</v>
      </c>
      <c r="AM34" s="532">
        <f t="shared" si="15"/>
        <v>0.54306302992572097</v>
      </c>
      <c r="AN34" s="532">
        <f t="shared" si="15"/>
        <v>0.54306302992572097</v>
      </c>
      <c r="AO34" s="532">
        <f t="shared" si="15"/>
        <v>0.54306302992572097</v>
      </c>
      <c r="AP34" s="683">
        <f t="shared" si="15"/>
        <v>0.54306302992572097</v>
      </c>
      <c r="AQ34" s="684">
        <f t="shared" si="15"/>
        <v>0.47518015118500584</v>
      </c>
    </row>
    <row r="35" spans="1:43" x14ac:dyDescent="0.2">
      <c r="A35" s="536" t="s">
        <v>138</v>
      </c>
      <c r="B35" s="537">
        <f t="shared" ref="B35:G36" si="16">ROUND($B$2*B32,2)</f>
        <v>0.7</v>
      </c>
      <c r="C35" s="537">
        <f t="shared" si="16"/>
        <v>0.7</v>
      </c>
      <c r="D35" s="537">
        <f t="shared" si="16"/>
        <v>0.7</v>
      </c>
      <c r="E35" s="537">
        <f t="shared" si="16"/>
        <v>0.7</v>
      </c>
      <c r="F35" s="537">
        <f t="shared" si="16"/>
        <v>0.7</v>
      </c>
      <c r="G35" s="537">
        <f t="shared" si="16"/>
        <v>0.7</v>
      </c>
      <c r="H35" s="537">
        <f t="shared" ref="H35:AP35" si="17">ROUND($B$2*H32,2)</f>
        <v>0.8</v>
      </c>
      <c r="I35" s="537">
        <f t="shared" si="17"/>
        <v>0.8</v>
      </c>
      <c r="J35" s="537">
        <f t="shared" si="17"/>
        <v>0.8</v>
      </c>
      <c r="K35" s="537">
        <f t="shared" si="17"/>
        <v>0.9</v>
      </c>
      <c r="L35" s="537">
        <f t="shared" si="17"/>
        <v>0.9</v>
      </c>
      <c r="M35" s="537">
        <f t="shared" si="17"/>
        <v>0.9</v>
      </c>
      <c r="N35" s="537">
        <f t="shared" si="17"/>
        <v>1</v>
      </c>
      <c r="O35" s="537">
        <f t="shared" si="17"/>
        <v>1</v>
      </c>
      <c r="P35" s="537">
        <f t="shared" si="17"/>
        <v>1</v>
      </c>
      <c r="Q35" s="537">
        <f t="shared" si="17"/>
        <v>1</v>
      </c>
      <c r="R35" s="537">
        <f t="shared" si="17"/>
        <v>1</v>
      </c>
      <c r="S35" s="537">
        <f t="shared" si="17"/>
        <v>1</v>
      </c>
      <c r="T35" s="537">
        <f t="shared" si="17"/>
        <v>1</v>
      </c>
      <c r="U35" s="537">
        <f t="shared" si="17"/>
        <v>1</v>
      </c>
      <c r="V35" s="537">
        <f t="shared" si="17"/>
        <v>1</v>
      </c>
      <c r="W35" s="537">
        <f t="shared" si="17"/>
        <v>1</v>
      </c>
      <c r="X35" s="537">
        <f t="shared" si="17"/>
        <v>1</v>
      </c>
      <c r="Y35" s="537">
        <f t="shared" si="17"/>
        <v>1</v>
      </c>
      <c r="Z35" s="537">
        <f t="shared" si="17"/>
        <v>1</v>
      </c>
      <c r="AA35" s="537">
        <f t="shared" si="17"/>
        <v>1</v>
      </c>
      <c r="AB35" s="538">
        <f t="shared" si="17"/>
        <v>1</v>
      </c>
      <c r="AC35" s="95">
        <f t="shared" si="17"/>
        <v>0.7</v>
      </c>
      <c r="AD35" s="537">
        <f t="shared" si="17"/>
        <v>0.8</v>
      </c>
      <c r="AE35" s="537">
        <f t="shared" si="17"/>
        <v>0.8</v>
      </c>
      <c r="AF35" s="537">
        <f t="shared" si="17"/>
        <v>0.8</v>
      </c>
      <c r="AG35" s="537">
        <f t="shared" si="17"/>
        <v>0.9</v>
      </c>
      <c r="AH35" s="537">
        <f t="shared" si="17"/>
        <v>0.9</v>
      </c>
      <c r="AI35" s="537">
        <f t="shared" si="17"/>
        <v>0.9</v>
      </c>
      <c r="AJ35" s="537">
        <f t="shared" si="17"/>
        <v>1</v>
      </c>
      <c r="AK35" s="537">
        <f t="shared" si="17"/>
        <v>1</v>
      </c>
      <c r="AL35" s="537">
        <f t="shared" si="17"/>
        <v>1</v>
      </c>
      <c r="AM35" s="537">
        <f t="shared" si="17"/>
        <v>0.8</v>
      </c>
      <c r="AN35" s="537">
        <f t="shared" si="17"/>
        <v>0.8</v>
      </c>
      <c r="AO35" s="537">
        <f t="shared" si="17"/>
        <v>0.8</v>
      </c>
      <c r="AP35" s="539">
        <f t="shared" si="17"/>
        <v>0.8</v>
      </c>
      <c r="AQ35" s="542">
        <f>ROUND($B$2*AQ32,2)</f>
        <v>0.7</v>
      </c>
    </row>
    <row r="36" spans="1:43" x14ac:dyDescent="0.2">
      <c r="A36" s="536" t="s">
        <v>139</v>
      </c>
      <c r="B36" s="537">
        <f t="shared" si="16"/>
        <v>0.56000000000000005</v>
      </c>
      <c r="C36" s="537">
        <f t="shared" si="16"/>
        <v>0.56000000000000005</v>
      </c>
      <c r="D36" s="537">
        <f t="shared" si="16"/>
        <v>0.56000000000000005</v>
      </c>
      <c r="E36" s="537">
        <f t="shared" si="16"/>
        <v>0.56000000000000005</v>
      </c>
      <c r="F36" s="537">
        <f t="shared" si="16"/>
        <v>0.56000000000000005</v>
      </c>
      <c r="G36" s="537">
        <f t="shared" si="16"/>
        <v>0.56000000000000005</v>
      </c>
      <c r="H36" s="537">
        <f t="shared" ref="H36:AP36" si="18">ROUND($B$2*H33,2)</f>
        <v>0.64</v>
      </c>
      <c r="I36" s="537">
        <f t="shared" si="18"/>
        <v>0.64</v>
      </c>
      <c r="J36" s="537">
        <f t="shared" si="18"/>
        <v>0.64</v>
      </c>
      <c r="K36" s="537">
        <f t="shared" si="18"/>
        <v>0.72</v>
      </c>
      <c r="L36" s="537">
        <f t="shared" si="18"/>
        <v>0.72</v>
      </c>
      <c r="M36" s="537">
        <f t="shared" si="18"/>
        <v>0.72</v>
      </c>
      <c r="N36" s="537">
        <f t="shared" si="18"/>
        <v>0.8</v>
      </c>
      <c r="O36" s="537">
        <f t="shared" si="18"/>
        <v>0.8</v>
      </c>
      <c r="P36" s="537">
        <f t="shared" si="18"/>
        <v>0.8</v>
      </c>
      <c r="Q36" s="537">
        <f t="shared" si="18"/>
        <v>0.8</v>
      </c>
      <c r="R36" s="537">
        <f t="shared" si="18"/>
        <v>0.8</v>
      </c>
      <c r="S36" s="537">
        <f t="shared" si="18"/>
        <v>0.8</v>
      </c>
      <c r="T36" s="537">
        <f t="shared" si="18"/>
        <v>0.8</v>
      </c>
      <c r="U36" s="537">
        <f t="shared" si="18"/>
        <v>0.8</v>
      </c>
      <c r="V36" s="537">
        <f t="shared" si="18"/>
        <v>0.8</v>
      </c>
      <c r="W36" s="537">
        <f t="shared" si="18"/>
        <v>0.8</v>
      </c>
      <c r="X36" s="537">
        <f t="shared" si="18"/>
        <v>0.8</v>
      </c>
      <c r="Y36" s="537">
        <f t="shared" si="18"/>
        <v>0.8</v>
      </c>
      <c r="Z36" s="537">
        <f t="shared" si="18"/>
        <v>0.8</v>
      </c>
      <c r="AA36" s="537">
        <f t="shared" si="18"/>
        <v>0.8</v>
      </c>
      <c r="AB36" s="538">
        <f t="shared" si="18"/>
        <v>0.8</v>
      </c>
      <c r="AC36" s="95">
        <f t="shared" si="18"/>
        <v>0.56000000000000005</v>
      </c>
      <c r="AD36" s="537">
        <f t="shared" si="18"/>
        <v>0.64</v>
      </c>
      <c r="AE36" s="537">
        <f t="shared" si="18"/>
        <v>0.64</v>
      </c>
      <c r="AF36" s="537">
        <f t="shared" si="18"/>
        <v>0.64</v>
      </c>
      <c r="AG36" s="537">
        <f t="shared" si="18"/>
        <v>0.72</v>
      </c>
      <c r="AH36" s="537">
        <f t="shared" si="18"/>
        <v>0.72</v>
      </c>
      <c r="AI36" s="537">
        <f t="shared" si="18"/>
        <v>0.72</v>
      </c>
      <c r="AJ36" s="537">
        <f t="shared" si="18"/>
        <v>0.8</v>
      </c>
      <c r="AK36" s="537">
        <f t="shared" si="18"/>
        <v>0.8</v>
      </c>
      <c r="AL36" s="537">
        <f t="shared" si="18"/>
        <v>0.8</v>
      </c>
      <c r="AM36" s="537">
        <f t="shared" si="18"/>
        <v>0.64</v>
      </c>
      <c r="AN36" s="537">
        <f t="shared" si="18"/>
        <v>0.64</v>
      </c>
      <c r="AO36" s="537">
        <f t="shared" si="18"/>
        <v>0.64</v>
      </c>
      <c r="AP36" s="539">
        <f t="shared" si="18"/>
        <v>0.64</v>
      </c>
      <c r="AQ36" s="542">
        <f>ROUND($B$2*AQ33,2)</f>
        <v>0.56000000000000005</v>
      </c>
    </row>
    <row r="37" spans="1:43" x14ac:dyDescent="0.2">
      <c r="A37" s="540" t="s">
        <v>140</v>
      </c>
      <c r="B37" s="537">
        <f>B34*$B$2</f>
        <v>0.47518015118500584</v>
      </c>
      <c r="C37" s="537">
        <f t="shared" ref="C37:AQ37" si="19">C34*$B$2</f>
        <v>0.47518015118500584</v>
      </c>
      <c r="D37" s="537">
        <f t="shared" si="19"/>
        <v>0.47518015118500584</v>
      </c>
      <c r="E37" s="537">
        <f t="shared" si="19"/>
        <v>0.47518015118500584</v>
      </c>
      <c r="F37" s="537">
        <f t="shared" si="19"/>
        <v>0.47518015118500584</v>
      </c>
      <c r="G37" s="537">
        <f t="shared" si="19"/>
        <v>0.47518015118500584</v>
      </c>
      <c r="H37" s="537">
        <f t="shared" si="19"/>
        <v>0.54306302992572097</v>
      </c>
      <c r="I37" s="537">
        <f t="shared" si="19"/>
        <v>0.54306302992572097</v>
      </c>
      <c r="J37" s="537">
        <f t="shared" si="19"/>
        <v>0.54306302992572097</v>
      </c>
      <c r="K37" s="537">
        <f t="shared" si="19"/>
        <v>0.61094590866643605</v>
      </c>
      <c r="L37" s="537">
        <f t="shared" si="19"/>
        <v>0.61094590866643605</v>
      </c>
      <c r="M37" s="537">
        <f t="shared" si="19"/>
        <v>0.61094590866643605</v>
      </c>
      <c r="N37" s="537">
        <f t="shared" si="19"/>
        <v>0.67882878740715125</v>
      </c>
      <c r="O37" s="537">
        <f t="shared" si="19"/>
        <v>0.67882878740715125</v>
      </c>
      <c r="P37" s="537">
        <f t="shared" si="19"/>
        <v>0.67882878740715125</v>
      </c>
      <c r="Q37" s="537">
        <f t="shared" si="19"/>
        <v>0.67882878740715125</v>
      </c>
      <c r="R37" s="537">
        <f t="shared" si="19"/>
        <v>0.67882878740715125</v>
      </c>
      <c r="S37" s="537">
        <f t="shared" si="19"/>
        <v>0.67882878740715125</v>
      </c>
      <c r="T37" s="537">
        <f t="shared" si="19"/>
        <v>0.67882878740715125</v>
      </c>
      <c r="U37" s="537">
        <f t="shared" si="19"/>
        <v>0.67882878740715125</v>
      </c>
      <c r="V37" s="537">
        <f t="shared" si="19"/>
        <v>0.67882878740715125</v>
      </c>
      <c r="W37" s="537">
        <f t="shared" si="19"/>
        <v>0.67882878740715125</v>
      </c>
      <c r="X37" s="537">
        <f t="shared" si="19"/>
        <v>0.67882878740715125</v>
      </c>
      <c r="Y37" s="537">
        <f t="shared" si="19"/>
        <v>0.67882878740715125</v>
      </c>
      <c r="Z37" s="537">
        <f t="shared" si="19"/>
        <v>0.67882878740715125</v>
      </c>
      <c r="AA37" s="537">
        <f t="shared" si="19"/>
        <v>0.67882878740715125</v>
      </c>
      <c r="AB37" s="539">
        <f t="shared" si="19"/>
        <v>0.67882878740715125</v>
      </c>
      <c r="AC37" s="542">
        <f t="shared" si="19"/>
        <v>0.47518015118500584</v>
      </c>
      <c r="AD37" s="537">
        <f t="shared" si="19"/>
        <v>0.54306302992572097</v>
      </c>
      <c r="AE37" s="537">
        <f t="shared" si="19"/>
        <v>0.54306302992572097</v>
      </c>
      <c r="AF37" s="537">
        <f t="shared" si="19"/>
        <v>0.54306302992572097</v>
      </c>
      <c r="AG37" s="537">
        <f t="shared" si="19"/>
        <v>0.61094590866643605</v>
      </c>
      <c r="AH37" s="537">
        <f t="shared" si="19"/>
        <v>0.61094590866643605</v>
      </c>
      <c r="AI37" s="537">
        <f t="shared" si="19"/>
        <v>0.61094590866643605</v>
      </c>
      <c r="AJ37" s="537">
        <f t="shared" si="19"/>
        <v>0.67882878740715125</v>
      </c>
      <c r="AK37" s="537">
        <f t="shared" si="19"/>
        <v>0.67882878740715125</v>
      </c>
      <c r="AL37" s="537">
        <f t="shared" si="19"/>
        <v>0.67882878740715125</v>
      </c>
      <c r="AM37" s="537">
        <f t="shared" si="19"/>
        <v>0.54306302992572097</v>
      </c>
      <c r="AN37" s="537">
        <f t="shared" si="19"/>
        <v>0.54306302992572097</v>
      </c>
      <c r="AO37" s="537">
        <f t="shared" si="19"/>
        <v>0.54306302992572097</v>
      </c>
      <c r="AP37" s="539">
        <f t="shared" si="19"/>
        <v>0.54306302992572097</v>
      </c>
      <c r="AQ37" s="542">
        <f t="shared" si="19"/>
        <v>0.47518015118500584</v>
      </c>
    </row>
    <row r="38" spans="1:43" x14ac:dyDescent="0.2">
      <c r="A38" s="543" t="s">
        <v>141</v>
      </c>
      <c r="B38" s="544"/>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659"/>
      <c r="AC38" s="39"/>
      <c r="AD38" s="39"/>
      <c r="AE38" s="39"/>
      <c r="AF38" s="39"/>
      <c r="AG38" s="39"/>
      <c r="AH38" s="39"/>
      <c r="AI38" s="39"/>
      <c r="AJ38" s="39"/>
      <c r="AK38" s="39"/>
      <c r="AL38" s="39"/>
      <c r="AM38" s="39"/>
      <c r="AN38" s="39"/>
      <c r="AO38" s="39"/>
      <c r="AP38" s="90"/>
      <c r="AQ38" s="506"/>
    </row>
    <row r="39" spans="1:43" x14ac:dyDescent="0.2">
      <c r="A39" s="546" t="s">
        <v>142</v>
      </c>
      <c r="B39" s="547">
        <f t="shared" ref="B39:AQ39" si="20">IF($B126&gt;=0.9, B$36,B$36*$B126)</f>
        <v>0.38545027182268243</v>
      </c>
      <c r="C39" s="547">
        <f t="shared" si="20"/>
        <v>0.38545027182268243</v>
      </c>
      <c r="D39" s="547">
        <f t="shared" si="20"/>
        <v>0.38545027182268243</v>
      </c>
      <c r="E39" s="547">
        <f t="shared" si="20"/>
        <v>0.38545027182268243</v>
      </c>
      <c r="F39" s="547">
        <f t="shared" si="20"/>
        <v>0.38545027182268243</v>
      </c>
      <c r="G39" s="547">
        <f t="shared" si="20"/>
        <v>0.38545027182268243</v>
      </c>
      <c r="H39" s="547">
        <f t="shared" si="20"/>
        <v>0.44051459636877988</v>
      </c>
      <c r="I39" s="547">
        <f t="shared" si="20"/>
        <v>0.44051459636877988</v>
      </c>
      <c r="J39" s="547">
        <f t="shared" si="20"/>
        <v>0.44051459636877988</v>
      </c>
      <c r="K39" s="547">
        <f t="shared" si="20"/>
        <v>0.49557892091487732</v>
      </c>
      <c r="L39" s="547">
        <f t="shared" si="20"/>
        <v>0.49557892091487732</v>
      </c>
      <c r="M39" s="547">
        <f t="shared" si="20"/>
        <v>0.49557892091487732</v>
      </c>
      <c r="N39" s="547">
        <f t="shared" si="20"/>
        <v>0.55064324546097487</v>
      </c>
      <c r="O39" s="547">
        <f t="shared" si="20"/>
        <v>0.55064324546097487</v>
      </c>
      <c r="P39" s="547">
        <f t="shared" si="20"/>
        <v>0.55064324546097487</v>
      </c>
      <c r="Q39" s="547">
        <f t="shared" si="20"/>
        <v>0.55064324546097487</v>
      </c>
      <c r="R39" s="547">
        <f t="shared" si="20"/>
        <v>0.55064324546097487</v>
      </c>
      <c r="S39" s="547">
        <f t="shared" si="20"/>
        <v>0.55064324546097487</v>
      </c>
      <c r="T39" s="547">
        <f t="shared" si="20"/>
        <v>0.55064324546097487</v>
      </c>
      <c r="U39" s="547">
        <f t="shared" si="20"/>
        <v>0.55064324546097487</v>
      </c>
      <c r="V39" s="547">
        <f t="shared" si="20"/>
        <v>0.55064324546097487</v>
      </c>
      <c r="W39" s="547">
        <f t="shared" si="20"/>
        <v>0.55064324546097487</v>
      </c>
      <c r="X39" s="547">
        <f t="shared" si="20"/>
        <v>0.55064324546097487</v>
      </c>
      <c r="Y39" s="547">
        <f t="shared" si="20"/>
        <v>0.55064324546097487</v>
      </c>
      <c r="Z39" s="547">
        <f t="shared" si="20"/>
        <v>0.55064324546097487</v>
      </c>
      <c r="AA39" s="547">
        <f t="shared" si="20"/>
        <v>0.55064324546097487</v>
      </c>
      <c r="AB39" s="548">
        <f t="shared" si="20"/>
        <v>0.55064324546097487</v>
      </c>
      <c r="AC39" s="549">
        <f t="shared" si="20"/>
        <v>0.38545027182268243</v>
      </c>
      <c r="AD39" s="547">
        <f t="shared" si="20"/>
        <v>0.44051459636877988</v>
      </c>
      <c r="AE39" s="547">
        <f t="shared" si="20"/>
        <v>0.44051459636877988</v>
      </c>
      <c r="AF39" s="547">
        <f t="shared" si="20"/>
        <v>0.44051459636877988</v>
      </c>
      <c r="AG39" s="547">
        <f t="shared" si="20"/>
        <v>0.49557892091487732</v>
      </c>
      <c r="AH39" s="547">
        <f t="shared" si="20"/>
        <v>0.49557892091487732</v>
      </c>
      <c r="AI39" s="547">
        <f t="shared" si="20"/>
        <v>0.49557892091487732</v>
      </c>
      <c r="AJ39" s="547">
        <f t="shared" si="20"/>
        <v>0.55064324546097487</v>
      </c>
      <c r="AK39" s="547">
        <f t="shared" si="20"/>
        <v>0.55064324546097487</v>
      </c>
      <c r="AL39" s="547">
        <f t="shared" si="20"/>
        <v>0.55064324546097487</v>
      </c>
      <c r="AM39" s="547">
        <f t="shared" si="20"/>
        <v>0.44051459636877988</v>
      </c>
      <c r="AN39" s="547">
        <f t="shared" si="20"/>
        <v>0.44051459636877988</v>
      </c>
      <c r="AO39" s="547">
        <f t="shared" si="20"/>
        <v>0.44051459636877988</v>
      </c>
      <c r="AP39" s="548">
        <f t="shared" si="20"/>
        <v>0.44051459636877988</v>
      </c>
      <c r="AQ39" s="549">
        <f t="shared" si="20"/>
        <v>0.38545027182268243</v>
      </c>
    </row>
    <row r="40" spans="1:43" x14ac:dyDescent="0.2">
      <c r="A40" s="546" t="s">
        <v>143</v>
      </c>
      <c r="B40" s="547">
        <f t="shared" ref="B40:AQ40" si="21">IF($B127&gt;=0.9, B$36,B$36*$B127)</f>
        <v>0.29346728084980389</v>
      </c>
      <c r="C40" s="547">
        <f t="shared" si="21"/>
        <v>0.29346728084980389</v>
      </c>
      <c r="D40" s="547">
        <f t="shared" si="21"/>
        <v>0.29346728084980389</v>
      </c>
      <c r="E40" s="547">
        <f t="shared" si="21"/>
        <v>0.29346728084980389</v>
      </c>
      <c r="F40" s="547">
        <f t="shared" si="21"/>
        <v>0.29346728084980389</v>
      </c>
      <c r="G40" s="547">
        <f t="shared" si="21"/>
        <v>0.29346728084980389</v>
      </c>
      <c r="H40" s="547">
        <f t="shared" si="21"/>
        <v>0.33539117811406161</v>
      </c>
      <c r="I40" s="547">
        <f t="shared" si="21"/>
        <v>0.33539117811406161</v>
      </c>
      <c r="J40" s="547">
        <f t="shared" si="21"/>
        <v>0.33539117811406161</v>
      </c>
      <c r="K40" s="547">
        <f t="shared" si="21"/>
        <v>0.37731507537831926</v>
      </c>
      <c r="L40" s="547">
        <f t="shared" si="21"/>
        <v>0.37731507537831926</v>
      </c>
      <c r="M40" s="547">
        <f t="shared" si="21"/>
        <v>0.37731507537831926</v>
      </c>
      <c r="N40" s="547">
        <f t="shared" si="21"/>
        <v>0.41923897264257698</v>
      </c>
      <c r="O40" s="547">
        <f t="shared" si="21"/>
        <v>0.41923897264257698</v>
      </c>
      <c r="P40" s="547">
        <f t="shared" si="21"/>
        <v>0.41923897264257698</v>
      </c>
      <c r="Q40" s="547">
        <f t="shared" si="21"/>
        <v>0.41923897264257698</v>
      </c>
      <c r="R40" s="547">
        <f t="shared" si="21"/>
        <v>0.41923897264257698</v>
      </c>
      <c r="S40" s="547">
        <f t="shared" si="21"/>
        <v>0.41923897264257698</v>
      </c>
      <c r="T40" s="547">
        <f t="shared" si="21"/>
        <v>0.41923897264257698</v>
      </c>
      <c r="U40" s="547">
        <f t="shared" si="21"/>
        <v>0.41923897264257698</v>
      </c>
      <c r="V40" s="547">
        <f t="shared" si="21"/>
        <v>0.41923897264257698</v>
      </c>
      <c r="W40" s="547">
        <f t="shared" si="21"/>
        <v>0.41923897264257698</v>
      </c>
      <c r="X40" s="547">
        <f t="shared" si="21"/>
        <v>0.41923897264257698</v>
      </c>
      <c r="Y40" s="547">
        <f t="shared" si="21"/>
        <v>0.41923897264257698</v>
      </c>
      <c r="Z40" s="547">
        <f t="shared" si="21"/>
        <v>0.41923897264257698</v>
      </c>
      <c r="AA40" s="547">
        <f t="shared" si="21"/>
        <v>0.41923897264257698</v>
      </c>
      <c r="AB40" s="548">
        <f t="shared" si="21"/>
        <v>0.41923897264257698</v>
      </c>
      <c r="AC40" s="549">
        <f t="shared" si="21"/>
        <v>0.29346728084980389</v>
      </c>
      <c r="AD40" s="547">
        <f t="shared" si="21"/>
        <v>0.33539117811406161</v>
      </c>
      <c r="AE40" s="547">
        <f t="shared" si="21"/>
        <v>0.33539117811406161</v>
      </c>
      <c r="AF40" s="547">
        <f t="shared" si="21"/>
        <v>0.33539117811406161</v>
      </c>
      <c r="AG40" s="547">
        <f t="shared" si="21"/>
        <v>0.37731507537831926</v>
      </c>
      <c r="AH40" s="547">
        <f t="shared" si="21"/>
        <v>0.37731507537831926</v>
      </c>
      <c r="AI40" s="547">
        <f t="shared" si="21"/>
        <v>0.37731507537831926</v>
      </c>
      <c r="AJ40" s="547">
        <f t="shared" si="21"/>
        <v>0.41923897264257698</v>
      </c>
      <c r="AK40" s="547">
        <f t="shared" si="21"/>
        <v>0.41923897264257698</v>
      </c>
      <c r="AL40" s="547">
        <f t="shared" si="21"/>
        <v>0.41923897264257698</v>
      </c>
      <c r="AM40" s="547">
        <f t="shared" si="21"/>
        <v>0.33539117811406161</v>
      </c>
      <c r="AN40" s="547">
        <f t="shared" si="21"/>
        <v>0.33539117811406161</v>
      </c>
      <c r="AO40" s="547">
        <f t="shared" si="21"/>
        <v>0.33539117811406161</v>
      </c>
      <c r="AP40" s="548">
        <f t="shared" si="21"/>
        <v>0.33539117811406161</v>
      </c>
      <c r="AQ40" s="549">
        <f t="shared" si="21"/>
        <v>0.29346728084980389</v>
      </c>
    </row>
    <row r="41" spans="1:43" x14ac:dyDescent="0.2">
      <c r="A41" s="550" t="s">
        <v>144</v>
      </c>
      <c r="B41" s="547">
        <f t="shared" ref="B41:AQ41" si="22">IF($B128&gt;=0.9, B$36,B$36*$B128)</f>
        <v>0.29319988843418515</v>
      </c>
      <c r="C41" s="547">
        <f t="shared" si="22"/>
        <v>0.29319988843418515</v>
      </c>
      <c r="D41" s="547">
        <f t="shared" si="22"/>
        <v>0.29319988843418515</v>
      </c>
      <c r="E41" s="547">
        <f t="shared" si="22"/>
        <v>0.29319988843418515</v>
      </c>
      <c r="F41" s="547">
        <f t="shared" si="22"/>
        <v>0.29319988843418515</v>
      </c>
      <c r="G41" s="547">
        <f t="shared" si="22"/>
        <v>0.29319988843418515</v>
      </c>
      <c r="H41" s="547">
        <f t="shared" si="22"/>
        <v>0.33508558678192585</v>
      </c>
      <c r="I41" s="547">
        <f t="shared" si="22"/>
        <v>0.33508558678192585</v>
      </c>
      <c r="J41" s="547">
        <f t="shared" si="22"/>
        <v>0.33508558678192585</v>
      </c>
      <c r="K41" s="547">
        <f t="shared" si="22"/>
        <v>0.3769712851296666</v>
      </c>
      <c r="L41" s="547">
        <f t="shared" si="22"/>
        <v>0.3769712851296666</v>
      </c>
      <c r="M41" s="547">
        <f t="shared" si="22"/>
        <v>0.3769712851296666</v>
      </c>
      <c r="N41" s="547">
        <f t="shared" si="22"/>
        <v>0.41885698347740735</v>
      </c>
      <c r="O41" s="547">
        <f t="shared" si="22"/>
        <v>0.41885698347740735</v>
      </c>
      <c r="P41" s="547">
        <f t="shared" si="22"/>
        <v>0.41885698347740735</v>
      </c>
      <c r="Q41" s="547">
        <f t="shared" si="22"/>
        <v>0.41885698347740735</v>
      </c>
      <c r="R41" s="547">
        <f t="shared" si="22"/>
        <v>0.41885698347740735</v>
      </c>
      <c r="S41" s="547">
        <f t="shared" si="22"/>
        <v>0.41885698347740735</v>
      </c>
      <c r="T41" s="547">
        <f t="shared" si="22"/>
        <v>0.41885698347740735</v>
      </c>
      <c r="U41" s="547">
        <f t="shared" si="22"/>
        <v>0.41885698347740735</v>
      </c>
      <c r="V41" s="547">
        <f t="shared" si="22"/>
        <v>0.41885698347740735</v>
      </c>
      <c r="W41" s="547">
        <f t="shared" si="22"/>
        <v>0.41885698347740735</v>
      </c>
      <c r="X41" s="547">
        <f t="shared" si="22"/>
        <v>0.41885698347740735</v>
      </c>
      <c r="Y41" s="547">
        <f t="shared" si="22"/>
        <v>0.41885698347740735</v>
      </c>
      <c r="Z41" s="547">
        <f t="shared" si="22"/>
        <v>0.41885698347740735</v>
      </c>
      <c r="AA41" s="547">
        <f t="shared" si="22"/>
        <v>0.41885698347740735</v>
      </c>
      <c r="AB41" s="548">
        <f t="shared" si="22"/>
        <v>0.41885698347740735</v>
      </c>
      <c r="AC41" s="549">
        <f t="shared" si="22"/>
        <v>0.29319988843418515</v>
      </c>
      <c r="AD41" s="547">
        <f t="shared" si="22"/>
        <v>0.33508558678192585</v>
      </c>
      <c r="AE41" s="547">
        <f t="shared" si="22"/>
        <v>0.33508558678192585</v>
      </c>
      <c r="AF41" s="547">
        <f t="shared" si="22"/>
        <v>0.33508558678192585</v>
      </c>
      <c r="AG41" s="547">
        <f t="shared" si="22"/>
        <v>0.3769712851296666</v>
      </c>
      <c r="AH41" s="547">
        <f t="shared" si="22"/>
        <v>0.3769712851296666</v>
      </c>
      <c r="AI41" s="547">
        <f t="shared" si="22"/>
        <v>0.3769712851296666</v>
      </c>
      <c r="AJ41" s="547">
        <f t="shared" si="22"/>
        <v>0.41885698347740735</v>
      </c>
      <c r="AK41" s="547">
        <f t="shared" si="22"/>
        <v>0.41885698347740735</v>
      </c>
      <c r="AL41" s="547">
        <f t="shared" si="22"/>
        <v>0.41885698347740735</v>
      </c>
      <c r="AM41" s="547">
        <f t="shared" si="22"/>
        <v>0.33508558678192585</v>
      </c>
      <c r="AN41" s="547">
        <f t="shared" si="22"/>
        <v>0.33508558678192585</v>
      </c>
      <c r="AO41" s="547">
        <f t="shared" si="22"/>
        <v>0.33508558678192585</v>
      </c>
      <c r="AP41" s="548">
        <f t="shared" si="22"/>
        <v>0.33508558678192585</v>
      </c>
      <c r="AQ41" s="549">
        <f t="shared" si="22"/>
        <v>0.29319988843418515</v>
      </c>
    </row>
    <row r="42" spans="1:43" x14ac:dyDescent="0.2">
      <c r="A42" s="550" t="s">
        <v>145</v>
      </c>
      <c r="B42" s="547">
        <f t="shared" ref="B42:AQ42" si="23">IF($B129&gt;=0.9, B$36,B$36*$B129)</f>
        <v>0.20237559792898813</v>
      </c>
      <c r="C42" s="547">
        <f t="shared" si="23"/>
        <v>0.20237559792898813</v>
      </c>
      <c r="D42" s="547">
        <f t="shared" si="23"/>
        <v>0.20237559792898813</v>
      </c>
      <c r="E42" s="547">
        <f t="shared" si="23"/>
        <v>0.20237559792898813</v>
      </c>
      <c r="F42" s="547">
        <f t="shared" si="23"/>
        <v>0.20237559792898813</v>
      </c>
      <c r="G42" s="547">
        <f t="shared" si="23"/>
        <v>0.20237559792898813</v>
      </c>
      <c r="H42" s="547">
        <f t="shared" si="23"/>
        <v>0.23128639763312925</v>
      </c>
      <c r="I42" s="547">
        <f t="shared" si="23"/>
        <v>0.23128639763312925</v>
      </c>
      <c r="J42" s="547">
        <f t="shared" si="23"/>
        <v>0.23128639763312925</v>
      </c>
      <c r="K42" s="547">
        <f t="shared" si="23"/>
        <v>0.26019719733727042</v>
      </c>
      <c r="L42" s="547">
        <f t="shared" si="23"/>
        <v>0.26019719733727042</v>
      </c>
      <c r="M42" s="547">
        <f t="shared" si="23"/>
        <v>0.26019719733727042</v>
      </c>
      <c r="N42" s="547">
        <f t="shared" si="23"/>
        <v>0.2891079970414116</v>
      </c>
      <c r="O42" s="547">
        <f t="shared" si="23"/>
        <v>0.2891079970414116</v>
      </c>
      <c r="P42" s="547">
        <f t="shared" si="23"/>
        <v>0.2891079970414116</v>
      </c>
      <c r="Q42" s="547">
        <f t="shared" si="23"/>
        <v>0.2891079970414116</v>
      </c>
      <c r="R42" s="547">
        <f t="shared" si="23"/>
        <v>0.2891079970414116</v>
      </c>
      <c r="S42" s="547">
        <f t="shared" si="23"/>
        <v>0.2891079970414116</v>
      </c>
      <c r="T42" s="547">
        <f t="shared" si="23"/>
        <v>0.2891079970414116</v>
      </c>
      <c r="U42" s="547">
        <f t="shared" si="23"/>
        <v>0.2891079970414116</v>
      </c>
      <c r="V42" s="547">
        <f t="shared" si="23"/>
        <v>0.2891079970414116</v>
      </c>
      <c r="W42" s="547">
        <f t="shared" si="23"/>
        <v>0.2891079970414116</v>
      </c>
      <c r="X42" s="547">
        <f t="shared" si="23"/>
        <v>0.2891079970414116</v>
      </c>
      <c r="Y42" s="547">
        <f t="shared" si="23"/>
        <v>0.2891079970414116</v>
      </c>
      <c r="Z42" s="547">
        <f t="shared" si="23"/>
        <v>0.2891079970414116</v>
      </c>
      <c r="AA42" s="547">
        <f t="shared" si="23"/>
        <v>0.2891079970414116</v>
      </c>
      <c r="AB42" s="548">
        <f t="shared" si="23"/>
        <v>0.2891079970414116</v>
      </c>
      <c r="AC42" s="549">
        <f t="shared" si="23"/>
        <v>0.20237559792898813</v>
      </c>
      <c r="AD42" s="547">
        <f t="shared" si="23"/>
        <v>0.23128639763312925</v>
      </c>
      <c r="AE42" s="547">
        <f t="shared" si="23"/>
        <v>0.23128639763312925</v>
      </c>
      <c r="AF42" s="547">
        <f t="shared" si="23"/>
        <v>0.23128639763312925</v>
      </c>
      <c r="AG42" s="547">
        <f t="shared" si="23"/>
        <v>0.26019719733727042</v>
      </c>
      <c r="AH42" s="547">
        <f t="shared" si="23"/>
        <v>0.26019719733727042</v>
      </c>
      <c r="AI42" s="547">
        <f t="shared" si="23"/>
        <v>0.26019719733727042</v>
      </c>
      <c r="AJ42" s="547">
        <f t="shared" si="23"/>
        <v>0.2891079970414116</v>
      </c>
      <c r="AK42" s="547">
        <f t="shared" si="23"/>
        <v>0.2891079970414116</v>
      </c>
      <c r="AL42" s="547">
        <f t="shared" si="23"/>
        <v>0.2891079970414116</v>
      </c>
      <c r="AM42" s="547">
        <f t="shared" si="23"/>
        <v>0.23128639763312925</v>
      </c>
      <c r="AN42" s="547">
        <f t="shared" si="23"/>
        <v>0.23128639763312925</v>
      </c>
      <c r="AO42" s="547">
        <f t="shared" si="23"/>
        <v>0.23128639763312925</v>
      </c>
      <c r="AP42" s="548">
        <f t="shared" si="23"/>
        <v>0.23128639763312925</v>
      </c>
      <c r="AQ42" s="549">
        <f t="shared" si="23"/>
        <v>0.20237559792898813</v>
      </c>
    </row>
    <row r="43" spans="1:43" x14ac:dyDescent="0.2">
      <c r="A43" s="551" t="s">
        <v>146</v>
      </c>
      <c r="B43" s="547">
        <f t="shared" ref="B43:AQ43" si="24">IF($B130&gt;=0.9, B$36,B$36*$B130)</f>
        <v>0.25318660715220637</v>
      </c>
      <c r="C43" s="547">
        <f t="shared" si="24"/>
        <v>0.25318660715220637</v>
      </c>
      <c r="D43" s="547">
        <f t="shared" si="24"/>
        <v>0.25318660715220637</v>
      </c>
      <c r="E43" s="547">
        <f t="shared" si="24"/>
        <v>0.25318660715220637</v>
      </c>
      <c r="F43" s="547">
        <f t="shared" si="24"/>
        <v>0.25318660715220637</v>
      </c>
      <c r="G43" s="547">
        <f t="shared" si="24"/>
        <v>0.25318660715220637</v>
      </c>
      <c r="H43" s="547">
        <f t="shared" si="24"/>
        <v>0.28935612245966441</v>
      </c>
      <c r="I43" s="547">
        <f t="shared" si="24"/>
        <v>0.28935612245966441</v>
      </c>
      <c r="J43" s="547">
        <f t="shared" si="24"/>
        <v>0.28935612245966441</v>
      </c>
      <c r="K43" s="547">
        <f t="shared" si="24"/>
        <v>0.32552563776712246</v>
      </c>
      <c r="L43" s="547">
        <f t="shared" si="24"/>
        <v>0.32552563776712246</v>
      </c>
      <c r="M43" s="547">
        <f t="shared" si="24"/>
        <v>0.32552563776712246</v>
      </c>
      <c r="N43" s="547">
        <f t="shared" si="24"/>
        <v>0.3616951530745805</v>
      </c>
      <c r="O43" s="547">
        <f t="shared" si="24"/>
        <v>0.3616951530745805</v>
      </c>
      <c r="P43" s="547">
        <f t="shared" si="24"/>
        <v>0.3616951530745805</v>
      </c>
      <c r="Q43" s="547">
        <f t="shared" si="24"/>
        <v>0.3616951530745805</v>
      </c>
      <c r="R43" s="547">
        <f t="shared" si="24"/>
        <v>0.3616951530745805</v>
      </c>
      <c r="S43" s="547">
        <f t="shared" si="24"/>
        <v>0.3616951530745805</v>
      </c>
      <c r="T43" s="547">
        <f t="shared" si="24"/>
        <v>0.3616951530745805</v>
      </c>
      <c r="U43" s="547">
        <f t="shared" si="24"/>
        <v>0.3616951530745805</v>
      </c>
      <c r="V43" s="547">
        <f t="shared" si="24"/>
        <v>0.3616951530745805</v>
      </c>
      <c r="W43" s="547">
        <f t="shared" si="24"/>
        <v>0.3616951530745805</v>
      </c>
      <c r="X43" s="547">
        <f t="shared" si="24"/>
        <v>0.3616951530745805</v>
      </c>
      <c r="Y43" s="547">
        <f t="shared" si="24"/>
        <v>0.3616951530745805</v>
      </c>
      <c r="Z43" s="547">
        <f t="shared" si="24"/>
        <v>0.3616951530745805</v>
      </c>
      <c r="AA43" s="547">
        <f t="shared" si="24"/>
        <v>0.3616951530745805</v>
      </c>
      <c r="AB43" s="548">
        <f t="shared" si="24"/>
        <v>0.3616951530745805</v>
      </c>
      <c r="AC43" s="549">
        <f t="shared" si="24"/>
        <v>0.25318660715220637</v>
      </c>
      <c r="AD43" s="547">
        <f t="shared" si="24"/>
        <v>0.28935612245966441</v>
      </c>
      <c r="AE43" s="547">
        <f t="shared" si="24"/>
        <v>0.28935612245966441</v>
      </c>
      <c r="AF43" s="547">
        <f t="shared" si="24"/>
        <v>0.28935612245966441</v>
      </c>
      <c r="AG43" s="547">
        <f t="shared" si="24"/>
        <v>0.32552563776712246</v>
      </c>
      <c r="AH43" s="547">
        <f t="shared" si="24"/>
        <v>0.32552563776712246</v>
      </c>
      <c r="AI43" s="547">
        <f t="shared" si="24"/>
        <v>0.32552563776712246</v>
      </c>
      <c r="AJ43" s="547">
        <f t="shared" si="24"/>
        <v>0.3616951530745805</v>
      </c>
      <c r="AK43" s="547">
        <f t="shared" si="24"/>
        <v>0.3616951530745805</v>
      </c>
      <c r="AL43" s="547">
        <f t="shared" si="24"/>
        <v>0.3616951530745805</v>
      </c>
      <c r="AM43" s="547">
        <f t="shared" si="24"/>
        <v>0.28935612245966441</v>
      </c>
      <c r="AN43" s="547">
        <f t="shared" si="24"/>
        <v>0.28935612245966441</v>
      </c>
      <c r="AO43" s="547">
        <f t="shared" si="24"/>
        <v>0.28935612245966441</v>
      </c>
      <c r="AP43" s="548">
        <f t="shared" si="24"/>
        <v>0.28935612245966441</v>
      </c>
      <c r="AQ43" s="549">
        <f t="shared" si="24"/>
        <v>0.25318660715220637</v>
      </c>
    </row>
    <row r="44" spans="1:43" s="17" customFormat="1" x14ac:dyDescent="0.2">
      <c r="A44" s="550" t="s">
        <v>147</v>
      </c>
      <c r="B44" s="547">
        <f t="shared" ref="B44:AQ44" si="25">IF($B131&gt;=0.9, B$36,B$36*$B131)</f>
        <v>0.14430277362896363</v>
      </c>
      <c r="C44" s="547">
        <f t="shared" si="25"/>
        <v>0.14430277362896363</v>
      </c>
      <c r="D44" s="547">
        <f t="shared" si="25"/>
        <v>0.14430277362896363</v>
      </c>
      <c r="E44" s="547">
        <f t="shared" si="25"/>
        <v>0.14430277362896363</v>
      </c>
      <c r="F44" s="547">
        <f t="shared" si="25"/>
        <v>0.14430277362896363</v>
      </c>
      <c r="G44" s="547">
        <f t="shared" si="25"/>
        <v>0.14430277362896363</v>
      </c>
      <c r="H44" s="547">
        <f t="shared" si="25"/>
        <v>0.16491745557595841</v>
      </c>
      <c r="I44" s="547">
        <f t="shared" si="25"/>
        <v>0.16491745557595841</v>
      </c>
      <c r="J44" s="547">
        <f t="shared" si="25"/>
        <v>0.16491745557595841</v>
      </c>
      <c r="K44" s="547">
        <f t="shared" si="25"/>
        <v>0.18553213752295322</v>
      </c>
      <c r="L44" s="547">
        <f t="shared" si="25"/>
        <v>0.18553213752295322</v>
      </c>
      <c r="M44" s="547">
        <f t="shared" si="25"/>
        <v>0.18553213752295322</v>
      </c>
      <c r="N44" s="547">
        <f t="shared" si="25"/>
        <v>0.20614681946994803</v>
      </c>
      <c r="O44" s="547">
        <f t="shared" si="25"/>
        <v>0.20614681946994803</v>
      </c>
      <c r="P44" s="547">
        <f t="shared" si="25"/>
        <v>0.20614681946994803</v>
      </c>
      <c r="Q44" s="547">
        <f t="shared" si="25"/>
        <v>0.20614681946994803</v>
      </c>
      <c r="R44" s="547">
        <f t="shared" si="25"/>
        <v>0.20614681946994803</v>
      </c>
      <c r="S44" s="547">
        <f t="shared" si="25"/>
        <v>0.20614681946994803</v>
      </c>
      <c r="T44" s="547">
        <f t="shared" si="25"/>
        <v>0.20614681946994803</v>
      </c>
      <c r="U44" s="547">
        <f t="shared" si="25"/>
        <v>0.20614681946994803</v>
      </c>
      <c r="V44" s="547">
        <f t="shared" si="25"/>
        <v>0.20614681946994803</v>
      </c>
      <c r="W44" s="547">
        <f t="shared" si="25"/>
        <v>0.20614681946994803</v>
      </c>
      <c r="X44" s="547">
        <f t="shared" si="25"/>
        <v>0.20614681946994803</v>
      </c>
      <c r="Y44" s="547">
        <f t="shared" si="25"/>
        <v>0.20614681946994803</v>
      </c>
      <c r="Z44" s="547">
        <f t="shared" si="25"/>
        <v>0.20614681946994803</v>
      </c>
      <c r="AA44" s="547">
        <f t="shared" si="25"/>
        <v>0.20614681946994803</v>
      </c>
      <c r="AB44" s="548">
        <f t="shared" si="25"/>
        <v>0.20614681946994803</v>
      </c>
      <c r="AC44" s="549">
        <f t="shared" si="25"/>
        <v>0.14430277362896363</v>
      </c>
      <c r="AD44" s="547">
        <f t="shared" si="25"/>
        <v>0.16491745557595841</v>
      </c>
      <c r="AE44" s="547">
        <f t="shared" si="25"/>
        <v>0.16491745557595841</v>
      </c>
      <c r="AF44" s="547">
        <f t="shared" si="25"/>
        <v>0.16491745557595841</v>
      </c>
      <c r="AG44" s="547">
        <f t="shared" si="25"/>
        <v>0.18553213752295322</v>
      </c>
      <c r="AH44" s="547">
        <f t="shared" si="25"/>
        <v>0.18553213752295322</v>
      </c>
      <c r="AI44" s="547">
        <f t="shared" si="25"/>
        <v>0.18553213752295322</v>
      </c>
      <c r="AJ44" s="547">
        <f t="shared" si="25"/>
        <v>0.20614681946994803</v>
      </c>
      <c r="AK44" s="547">
        <f t="shared" si="25"/>
        <v>0.20614681946994803</v>
      </c>
      <c r="AL44" s="547">
        <f t="shared" si="25"/>
        <v>0.20614681946994803</v>
      </c>
      <c r="AM44" s="547">
        <f t="shared" si="25"/>
        <v>0.16491745557595841</v>
      </c>
      <c r="AN44" s="547">
        <f t="shared" si="25"/>
        <v>0.16491745557595841</v>
      </c>
      <c r="AO44" s="547">
        <f t="shared" si="25"/>
        <v>0.16491745557595841</v>
      </c>
      <c r="AP44" s="548">
        <f t="shared" si="25"/>
        <v>0.16491745557595841</v>
      </c>
      <c r="AQ44" s="549">
        <f t="shared" si="25"/>
        <v>0.14430277362896363</v>
      </c>
    </row>
    <row r="45" spans="1:43" s="17" customFormat="1" x14ac:dyDescent="0.2">
      <c r="A45" s="550" t="s">
        <v>148</v>
      </c>
      <c r="B45" s="547">
        <f t="shared" ref="B45:AQ45" si="26">IF($B132&gt;=0.9, B$36,B$36*$B132)</f>
        <v>0.48009018173233509</v>
      </c>
      <c r="C45" s="547">
        <f t="shared" si="26"/>
        <v>0.48009018173233509</v>
      </c>
      <c r="D45" s="547">
        <f t="shared" si="26"/>
        <v>0.48009018173233509</v>
      </c>
      <c r="E45" s="547">
        <f t="shared" si="26"/>
        <v>0.48009018173233509</v>
      </c>
      <c r="F45" s="547">
        <f t="shared" si="26"/>
        <v>0.48009018173233509</v>
      </c>
      <c r="G45" s="547">
        <f t="shared" si="26"/>
        <v>0.48009018173233509</v>
      </c>
      <c r="H45" s="547">
        <f t="shared" si="26"/>
        <v>0.54867449340838292</v>
      </c>
      <c r="I45" s="547">
        <f t="shared" si="26"/>
        <v>0.54867449340838292</v>
      </c>
      <c r="J45" s="547">
        <f t="shared" si="26"/>
        <v>0.54867449340838292</v>
      </c>
      <c r="K45" s="547">
        <f t="shared" si="26"/>
        <v>0.61725880508443076</v>
      </c>
      <c r="L45" s="547">
        <f t="shared" si="26"/>
        <v>0.61725880508443076</v>
      </c>
      <c r="M45" s="547">
        <f t="shared" si="26"/>
        <v>0.61725880508443076</v>
      </c>
      <c r="N45" s="547">
        <f t="shared" si="26"/>
        <v>0.68584311676047871</v>
      </c>
      <c r="O45" s="547">
        <f t="shared" si="26"/>
        <v>0.68584311676047871</v>
      </c>
      <c r="P45" s="547">
        <f t="shared" si="26"/>
        <v>0.68584311676047871</v>
      </c>
      <c r="Q45" s="547">
        <f t="shared" si="26"/>
        <v>0.68584311676047871</v>
      </c>
      <c r="R45" s="547">
        <f t="shared" si="26"/>
        <v>0.68584311676047871</v>
      </c>
      <c r="S45" s="547">
        <f t="shared" si="26"/>
        <v>0.68584311676047871</v>
      </c>
      <c r="T45" s="547">
        <f t="shared" si="26"/>
        <v>0.68584311676047871</v>
      </c>
      <c r="U45" s="547">
        <f t="shared" si="26"/>
        <v>0.68584311676047871</v>
      </c>
      <c r="V45" s="547">
        <f t="shared" si="26"/>
        <v>0.68584311676047871</v>
      </c>
      <c r="W45" s="547">
        <f t="shared" si="26"/>
        <v>0.68584311676047871</v>
      </c>
      <c r="X45" s="547">
        <f t="shared" si="26"/>
        <v>0.68584311676047871</v>
      </c>
      <c r="Y45" s="547">
        <f t="shared" si="26"/>
        <v>0.68584311676047871</v>
      </c>
      <c r="Z45" s="547">
        <f t="shared" si="26"/>
        <v>0.68584311676047871</v>
      </c>
      <c r="AA45" s="547">
        <f t="shared" si="26"/>
        <v>0.68584311676047871</v>
      </c>
      <c r="AB45" s="548">
        <f t="shared" si="26"/>
        <v>0.68584311676047871</v>
      </c>
      <c r="AC45" s="549">
        <f t="shared" si="26"/>
        <v>0.48009018173233509</v>
      </c>
      <c r="AD45" s="547">
        <f t="shared" si="26"/>
        <v>0.54867449340838292</v>
      </c>
      <c r="AE45" s="547">
        <f t="shared" si="26"/>
        <v>0.54867449340838292</v>
      </c>
      <c r="AF45" s="547">
        <f t="shared" si="26"/>
        <v>0.54867449340838292</v>
      </c>
      <c r="AG45" s="547">
        <f t="shared" si="26"/>
        <v>0.61725880508443076</v>
      </c>
      <c r="AH45" s="547">
        <f t="shared" si="26"/>
        <v>0.61725880508443076</v>
      </c>
      <c r="AI45" s="547">
        <f t="shared" si="26"/>
        <v>0.61725880508443076</v>
      </c>
      <c r="AJ45" s="547">
        <f t="shared" si="26"/>
        <v>0.68584311676047871</v>
      </c>
      <c r="AK45" s="547">
        <f t="shared" si="26"/>
        <v>0.68584311676047871</v>
      </c>
      <c r="AL45" s="547">
        <f t="shared" si="26"/>
        <v>0.68584311676047871</v>
      </c>
      <c r="AM45" s="547">
        <f t="shared" si="26"/>
        <v>0.54867449340838292</v>
      </c>
      <c r="AN45" s="547">
        <f t="shared" si="26"/>
        <v>0.54867449340838292</v>
      </c>
      <c r="AO45" s="547">
        <f t="shared" si="26"/>
        <v>0.54867449340838292</v>
      </c>
      <c r="AP45" s="548">
        <f t="shared" si="26"/>
        <v>0.54867449340838292</v>
      </c>
      <c r="AQ45" s="549">
        <f t="shared" si="26"/>
        <v>0.48009018173233509</v>
      </c>
    </row>
    <row r="46" spans="1:43" s="17" customFormat="1" x14ac:dyDescent="0.2">
      <c r="A46" s="550" t="s">
        <v>149</v>
      </c>
      <c r="B46" s="547">
        <f t="shared" ref="B46:AQ46" si="27">IF($B133&gt;=0.9, B$36,B$36*$B133)</f>
        <v>0.1863319996839603</v>
      </c>
      <c r="C46" s="547">
        <f t="shared" si="27"/>
        <v>0.1863319996839603</v>
      </c>
      <c r="D46" s="547">
        <f t="shared" si="27"/>
        <v>0.1863319996839603</v>
      </c>
      <c r="E46" s="547">
        <f t="shared" si="27"/>
        <v>0.1863319996839603</v>
      </c>
      <c r="F46" s="547">
        <f t="shared" si="27"/>
        <v>0.1863319996839603</v>
      </c>
      <c r="G46" s="547">
        <f t="shared" si="27"/>
        <v>0.1863319996839603</v>
      </c>
      <c r="H46" s="547">
        <f t="shared" si="27"/>
        <v>0.21295085678166889</v>
      </c>
      <c r="I46" s="547">
        <f t="shared" si="27"/>
        <v>0.21295085678166889</v>
      </c>
      <c r="J46" s="547">
        <f t="shared" si="27"/>
        <v>0.21295085678166889</v>
      </c>
      <c r="K46" s="547">
        <f t="shared" si="27"/>
        <v>0.23956971387937748</v>
      </c>
      <c r="L46" s="547">
        <f t="shared" si="27"/>
        <v>0.23956971387937748</v>
      </c>
      <c r="M46" s="547">
        <f t="shared" si="27"/>
        <v>0.23956971387937748</v>
      </c>
      <c r="N46" s="547">
        <f t="shared" si="27"/>
        <v>0.26618857097708609</v>
      </c>
      <c r="O46" s="547">
        <f t="shared" si="27"/>
        <v>0.26618857097708609</v>
      </c>
      <c r="P46" s="547">
        <f t="shared" si="27"/>
        <v>0.26618857097708609</v>
      </c>
      <c r="Q46" s="547">
        <f t="shared" si="27"/>
        <v>0.26618857097708609</v>
      </c>
      <c r="R46" s="547">
        <f t="shared" si="27"/>
        <v>0.26618857097708609</v>
      </c>
      <c r="S46" s="547">
        <f t="shared" si="27"/>
        <v>0.26618857097708609</v>
      </c>
      <c r="T46" s="547">
        <f t="shared" si="27"/>
        <v>0.26618857097708609</v>
      </c>
      <c r="U46" s="547">
        <f t="shared" si="27"/>
        <v>0.26618857097708609</v>
      </c>
      <c r="V46" s="547">
        <f t="shared" si="27"/>
        <v>0.26618857097708609</v>
      </c>
      <c r="W46" s="547">
        <f t="shared" si="27"/>
        <v>0.26618857097708609</v>
      </c>
      <c r="X46" s="547">
        <f t="shared" si="27"/>
        <v>0.26618857097708609</v>
      </c>
      <c r="Y46" s="547">
        <f t="shared" si="27"/>
        <v>0.26618857097708609</v>
      </c>
      <c r="Z46" s="547">
        <f t="shared" si="27"/>
        <v>0.26618857097708609</v>
      </c>
      <c r="AA46" s="547">
        <f t="shared" si="27"/>
        <v>0.26618857097708609</v>
      </c>
      <c r="AB46" s="548">
        <f t="shared" si="27"/>
        <v>0.26618857097708609</v>
      </c>
      <c r="AC46" s="549">
        <f t="shared" si="27"/>
        <v>0.1863319996839603</v>
      </c>
      <c r="AD46" s="547">
        <f t="shared" si="27"/>
        <v>0.21295085678166889</v>
      </c>
      <c r="AE46" s="547">
        <f t="shared" si="27"/>
        <v>0.21295085678166889</v>
      </c>
      <c r="AF46" s="547">
        <f t="shared" si="27"/>
        <v>0.21295085678166889</v>
      </c>
      <c r="AG46" s="547">
        <f t="shared" si="27"/>
        <v>0.23956971387937748</v>
      </c>
      <c r="AH46" s="547">
        <f t="shared" si="27"/>
        <v>0.23956971387937748</v>
      </c>
      <c r="AI46" s="547">
        <f t="shared" si="27"/>
        <v>0.23956971387937748</v>
      </c>
      <c r="AJ46" s="547">
        <f t="shared" si="27"/>
        <v>0.26618857097708609</v>
      </c>
      <c r="AK46" s="547">
        <f t="shared" si="27"/>
        <v>0.26618857097708609</v>
      </c>
      <c r="AL46" s="547">
        <f t="shared" si="27"/>
        <v>0.26618857097708609</v>
      </c>
      <c r="AM46" s="547">
        <f t="shared" si="27"/>
        <v>0.21295085678166889</v>
      </c>
      <c r="AN46" s="547">
        <f t="shared" si="27"/>
        <v>0.21295085678166889</v>
      </c>
      <c r="AO46" s="547">
        <f t="shared" si="27"/>
        <v>0.21295085678166889</v>
      </c>
      <c r="AP46" s="548">
        <f t="shared" si="27"/>
        <v>0.21295085678166889</v>
      </c>
      <c r="AQ46" s="549">
        <f t="shared" si="27"/>
        <v>0.1863319996839603</v>
      </c>
    </row>
    <row r="47" spans="1:43" s="17" customFormat="1" x14ac:dyDescent="0.2">
      <c r="A47" s="550" t="s">
        <v>150</v>
      </c>
      <c r="B47" s="547">
        <f>IF(B$13="Deploy",B$36,IF($B134&gt;=0.9, B$36,B$36*$B129))</f>
        <v>0.20237559792898813</v>
      </c>
      <c r="C47" s="547">
        <f t="shared" ref="C47:AQ47" si="28">IF(C$13="Deploy",C$36,IF($B134&gt;=0.9, C$36,C$36*$B129))</f>
        <v>0.20237559792898813</v>
      </c>
      <c r="D47" s="547">
        <f t="shared" si="28"/>
        <v>0.20237559792898813</v>
      </c>
      <c r="E47" s="547">
        <f t="shared" si="28"/>
        <v>0.20237559792898813</v>
      </c>
      <c r="F47" s="547">
        <f t="shared" si="28"/>
        <v>0.20237559792898813</v>
      </c>
      <c r="G47" s="547">
        <f t="shared" si="28"/>
        <v>0.20237559792898813</v>
      </c>
      <c r="H47" s="547">
        <f t="shared" si="28"/>
        <v>0.23128639763312925</v>
      </c>
      <c r="I47" s="547">
        <f t="shared" si="28"/>
        <v>0.23128639763312925</v>
      </c>
      <c r="J47" s="547">
        <f t="shared" si="28"/>
        <v>0.23128639763312925</v>
      </c>
      <c r="K47" s="547">
        <f t="shared" si="28"/>
        <v>0.26019719733727042</v>
      </c>
      <c r="L47" s="547">
        <f t="shared" si="28"/>
        <v>0.26019719733727042</v>
      </c>
      <c r="M47" s="547">
        <f t="shared" si="28"/>
        <v>0.26019719733727042</v>
      </c>
      <c r="N47" s="547">
        <f t="shared" si="28"/>
        <v>0.2891079970414116</v>
      </c>
      <c r="O47" s="547">
        <f t="shared" si="28"/>
        <v>0.2891079970414116</v>
      </c>
      <c r="P47" s="547">
        <f t="shared" si="28"/>
        <v>0.2891079970414116</v>
      </c>
      <c r="Q47" s="547">
        <f t="shared" si="28"/>
        <v>0.2891079970414116</v>
      </c>
      <c r="R47" s="547">
        <f t="shared" si="28"/>
        <v>0.8</v>
      </c>
      <c r="S47" s="547">
        <f t="shared" si="28"/>
        <v>0.8</v>
      </c>
      <c r="T47" s="547">
        <f t="shared" si="28"/>
        <v>0.8</v>
      </c>
      <c r="U47" s="547">
        <f t="shared" si="28"/>
        <v>0.8</v>
      </c>
      <c r="V47" s="547">
        <f t="shared" si="28"/>
        <v>0.8</v>
      </c>
      <c r="W47" s="547">
        <f t="shared" si="28"/>
        <v>0.8</v>
      </c>
      <c r="X47" s="547">
        <f t="shared" si="28"/>
        <v>0.2891079970414116</v>
      </c>
      <c r="Y47" s="547">
        <f t="shared" si="28"/>
        <v>0.2891079970414116</v>
      </c>
      <c r="Z47" s="547">
        <f t="shared" si="28"/>
        <v>0.2891079970414116</v>
      </c>
      <c r="AA47" s="547">
        <f t="shared" si="28"/>
        <v>0.2891079970414116</v>
      </c>
      <c r="AB47" s="548">
        <f t="shared" si="28"/>
        <v>0.2891079970414116</v>
      </c>
      <c r="AC47" s="549">
        <f>AC36</f>
        <v>0.56000000000000005</v>
      </c>
      <c r="AD47" s="547">
        <f t="shared" ref="AD47:AP47" si="29">AD36</f>
        <v>0.64</v>
      </c>
      <c r="AE47" s="547">
        <f t="shared" si="29"/>
        <v>0.64</v>
      </c>
      <c r="AF47" s="547">
        <f t="shared" si="29"/>
        <v>0.64</v>
      </c>
      <c r="AG47" s="547">
        <f t="shared" si="29"/>
        <v>0.72</v>
      </c>
      <c r="AH47" s="547">
        <f t="shared" si="29"/>
        <v>0.72</v>
      </c>
      <c r="AI47" s="547">
        <f t="shared" si="29"/>
        <v>0.72</v>
      </c>
      <c r="AJ47" s="547">
        <f t="shared" si="29"/>
        <v>0.8</v>
      </c>
      <c r="AK47" s="547">
        <f t="shared" si="29"/>
        <v>0.8</v>
      </c>
      <c r="AL47" s="547">
        <f t="shared" si="29"/>
        <v>0.8</v>
      </c>
      <c r="AM47" s="547">
        <f t="shared" si="29"/>
        <v>0.64</v>
      </c>
      <c r="AN47" s="547">
        <f t="shared" si="29"/>
        <v>0.64</v>
      </c>
      <c r="AO47" s="547">
        <f t="shared" si="29"/>
        <v>0.64</v>
      </c>
      <c r="AP47" s="548">
        <f t="shared" si="29"/>
        <v>0.64</v>
      </c>
      <c r="AQ47" s="549">
        <f t="shared" si="28"/>
        <v>0.20237559792898813</v>
      </c>
    </row>
    <row r="48" spans="1:43" s="17" customFormat="1" ht="12.75" x14ac:dyDescent="0.2">
      <c r="A48" s="552" t="s">
        <v>151</v>
      </c>
      <c r="B48" s="547">
        <f t="shared" ref="B48:AQ48" si="30">IF($B135&gt;=0.9, B$36,B$36*$B135)</f>
        <v>0.56000000000000005</v>
      </c>
      <c r="C48" s="547">
        <f t="shared" si="30"/>
        <v>0.56000000000000005</v>
      </c>
      <c r="D48" s="547">
        <f t="shared" si="30"/>
        <v>0.56000000000000005</v>
      </c>
      <c r="E48" s="547">
        <f t="shared" si="30"/>
        <v>0.56000000000000005</v>
      </c>
      <c r="F48" s="547">
        <f t="shared" si="30"/>
        <v>0.56000000000000005</v>
      </c>
      <c r="G48" s="547">
        <f t="shared" si="30"/>
        <v>0.56000000000000005</v>
      </c>
      <c r="H48" s="547">
        <f t="shared" si="30"/>
        <v>0.64</v>
      </c>
      <c r="I48" s="547">
        <f t="shared" si="30"/>
        <v>0.64</v>
      </c>
      <c r="J48" s="547">
        <f t="shared" si="30"/>
        <v>0.64</v>
      </c>
      <c r="K48" s="547">
        <f t="shared" si="30"/>
        <v>0.72</v>
      </c>
      <c r="L48" s="547">
        <f t="shared" si="30"/>
        <v>0.72</v>
      </c>
      <c r="M48" s="547">
        <f t="shared" si="30"/>
        <v>0.72</v>
      </c>
      <c r="N48" s="547">
        <f t="shared" si="30"/>
        <v>0.8</v>
      </c>
      <c r="O48" s="547">
        <f t="shared" si="30"/>
        <v>0.8</v>
      </c>
      <c r="P48" s="547">
        <f t="shared" si="30"/>
        <v>0.8</v>
      </c>
      <c r="Q48" s="547">
        <f t="shared" si="30"/>
        <v>0.8</v>
      </c>
      <c r="R48" s="547">
        <f t="shared" si="30"/>
        <v>0.8</v>
      </c>
      <c r="S48" s="547">
        <f t="shared" si="30"/>
        <v>0.8</v>
      </c>
      <c r="T48" s="547">
        <f t="shared" si="30"/>
        <v>0.8</v>
      </c>
      <c r="U48" s="547">
        <f t="shared" si="30"/>
        <v>0.8</v>
      </c>
      <c r="V48" s="547">
        <f t="shared" si="30"/>
        <v>0.8</v>
      </c>
      <c r="W48" s="547">
        <f t="shared" si="30"/>
        <v>0.8</v>
      </c>
      <c r="X48" s="547">
        <f t="shared" si="30"/>
        <v>0.8</v>
      </c>
      <c r="Y48" s="547">
        <f t="shared" si="30"/>
        <v>0.8</v>
      </c>
      <c r="Z48" s="547">
        <f t="shared" si="30"/>
        <v>0.8</v>
      </c>
      <c r="AA48" s="547">
        <f t="shared" si="30"/>
        <v>0.8</v>
      </c>
      <c r="AB48" s="548">
        <f t="shared" si="30"/>
        <v>0.8</v>
      </c>
      <c r="AC48" s="549">
        <f t="shared" si="30"/>
        <v>0.56000000000000005</v>
      </c>
      <c r="AD48" s="547">
        <f t="shared" si="30"/>
        <v>0.64</v>
      </c>
      <c r="AE48" s="547">
        <f t="shared" si="30"/>
        <v>0.64</v>
      </c>
      <c r="AF48" s="547">
        <f t="shared" si="30"/>
        <v>0.64</v>
      </c>
      <c r="AG48" s="547">
        <f t="shared" si="30"/>
        <v>0.72</v>
      </c>
      <c r="AH48" s="547">
        <f t="shared" si="30"/>
        <v>0.72</v>
      </c>
      <c r="AI48" s="547">
        <f t="shared" si="30"/>
        <v>0.72</v>
      </c>
      <c r="AJ48" s="547">
        <f t="shared" si="30"/>
        <v>0.8</v>
      </c>
      <c r="AK48" s="547">
        <f t="shared" si="30"/>
        <v>0.8</v>
      </c>
      <c r="AL48" s="547">
        <f t="shared" si="30"/>
        <v>0.8</v>
      </c>
      <c r="AM48" s="547">
        <f t="shared" si="30"/>
        <v>0.64</v>
      </c>
      <c r="AN48" s="547">
        <f t="shared" si="30"/>
        <v>0.64</v>
      </c>
      <c r="AO48" s="547">
        <f>IF($B135&gt;=0.9, AO$36,AO$36*$B135)</f>
        <v>0.64</v>
      </c>
      <c r="AP48" s="548">
        <f t="shared" si="30"/>
        <v>0.64</v>
      </c>
      <c r="AQ48" s="549">
        <f t="shared" si="30"/>
        <v>0.56000000000000005</v>
      </c>
    </row>
    <row r="49" spans="1:43" s="17" customFormat="1" x14ac:dyDescent="0.2">
      <c r="A49" s="543" t="s">
        <v>152</v>
      </c>
      <c r="B49" s="334"/>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93"/>
      <c r="AD49" s="30"/>
      <c r="AE49" s="30"/>
      <c r="AF49" s="30"/>
      <c r="AG49" s="30"/>
      <c r="AH49" s="30"/>
      <c r="AI49" s="30"/>
      <c r="AJ49" s="30"/>
      <c r="AK49" s="30"/>
      <c r="AL49" s="30"/>
      <c r="AM49" s="30"/>
      <c r="AN49" s="30"/>
      <c r="AO49" s="30"/>
      <c r="AP49" s="94"/>
      <c r="AQ49" s="336"/>
    </row>
    <row r="50" spans="1:43" s="17" customFormat="1" x14ac:dyDescent="0.2">
      <c r="A50" s="536" t="s">
        <v>153</v>
      </c>
      <c r="B50" s="537">
        <f>ROUND(B51/0.75,2)</f>
        <v>0.15</v>
      </c>
      <c r="C50" s="537">
        <f t="shared" ref="C50:Q50" si="31">ROUND(C51/0.75,2)</f>
        <v>0.15</v>
      </c>
      <c r="D50" s="537">
        <f t="shared" si="31"/>
        <v>0.15</v>
      </c>
      <c r="E50" s="537">
        <f t="shared" si="31"/>
        <v>0.15</v>
      </c>
      <c r="F50" s="537">
        <f t="shared" si="31"/>
        <v>0.15</v>
      </c>
      <c r="G50" s="537">
        <f t="shared" si="31"/>
        <v>0.15</v>
      </c>
      <c r="H50" s="537">
        <f t="shared" si="31"/>
        <v>0.35</v>
      </c>
      <c r="I50" s="537">
        <f t="shared" si="31"/>
        <v>0.35</v>
      </c>
      <c r="J50" s="537">
        <f t="shared" si="31"/>
        <v>0.35</v>
      </c>
      <c r="K50" s="537">
        <f t="shared" si="31"/>
        <v>0.53</v>
      </c>
      <c r="L50" s="537">
        <f t="shared" si="31"/>
        <v>0.53</v>
      </c>
      <c r="M50" s="537">
        <f t="shared" si="31"/>
        <v>0.53</v>
      </c>
      <c r="N50" s="537">
        <f t="shared" si="31"/>
        <v>0.64</v>
      </c>
      <c r="O50" s="537">
        <f t="shared" si="31"/>
        <v>0.64</v>
      </c>
      <c r="P50" s="537">
        <f t="shared" si="31"/>
        <v>0.64</v>
      </c>
      <c r="Q50" s="537">
        <f t="shared" si="31"/>
        <v>0.64</v>
      </c>
      <c r="R50" s="69">
        <v>1</v>
      </c>
      <c r="S50" s="69">
        <v>1</v>
      </c>
      <c r="T50" s="69">
        <v>1</v>
      </c>
      <c r="U50" s="69">
        <v>1</v>
      </c>
      <c r="V50" s="69">
        <v>1</v>
      </c>
      <c r="W50" s="69">
        <v>1</v>
      </c>
      <c r="X50" s="537">
        <f t="shared" ref="X50:AB50" si="32">ROUND(X51/0.75,2)</f>
        <v>0.64</v>
      </c>
      <c r="Y50" s="537">
        <f t="shared" si="32"/>
        <v>0.64</v>
      </c>
      <c r="Z50" s="537">
        <f t="shared" si="32"/>
        <v>0.64</v>
      </c>
      <c r="AA50" s="537">
        <f t="shared" si="32"/>
        <v>0.64</v>
      </c>
      <c r="AB50" s="538">
        <f t="shared" si="32"/>
        <v>0.64</v>
      </c>
      <c r="AC50" s="96">
        <v>1</v>
      </c>
      <c r="AD50" s="555">
        <v>1</v>
      </c>
      <c r="AE50" s="555">
        <v>1</v>
      </c>
      <c r="AF50" s="555">
        <v>1</v>
      </c>
      <c r="AG50" s="555">
        <v>1</v>
      </c>
      <c r="AH50" s="555">
        <v>1</v>
      </c>
      <c r="AI50" s="555">
        <v>1</v>
      </c>
      <c r="AJ50" s="555">
        <v>1</v>
      </c>
      <c r="AK50" s="555">
        <v>1</v>
      </c>
      <c r="AL50" s="555">
        <v>1</v>
      </c>
      <c r="AM50" s="555">
        <v>1</v>
      </c>
      <c r="AN50" s="555">
        <v>1</v>
      </c>
      <c r="AO50" s="555">
        <v>1</v>
      </c>
      <c r="AP50" s="556">
        <v>1</v>
      </c>
      <c r="AQ50" s="118">
        <f t="shared" ref="AQ50" si="33">ROUND(AQ51/0.75,2)</f>
        <v>0.15</v>
      </c>
    </row>
    <row r="51" spans="1:43" s="17" customFormat="1" x14ac:dyDescent="0.2">
      <c r="A51" s="536" t="s">
        <v>154</v>
      </c>
      <c r="B51" s="537">
        <f t="shared" ref="B51:Q51" si="34">ROUND(IF(B$36*VLOOKUP(B$13,$L$3:$O$8,4,FALSE)&lt;0.01,0.01,B$36*VLOOKUP(B$13,$L$3:$O$8,4,FALSE)),2)</f>
        <v>0.11</v>
      </c>
      <c r="C51" s="537">
        <f t="shared" si="34"/>
        <v>0.11</v>
      </c>
      <c r="D51" s="537">
        <f t="shared" si="34"/>
        <v>0.11</v>
      </c>
      <c r="E51" s="537">
        <f t="shared" si="34"/>
        <v>0.11</v>
      </c>
      <c r="F51" s="537">
        <f t="shared" si="34"/>
        <v>0.11</v>
      </c>
      <c r="G51" s="537">
        <f t="shared" si="34"/>
        <v>0.11</v>
      </c>
      <c r="H51" s="537">
        <f t="shared" si="34"/>
        <v>0.26</v>
      </c>
      <c r="I51" s="537">
        <f t="shared" si="34"/>
        <v>0.26</v>
      </c>
      <c r="J51" s="537">
        <f t="shared" si="34"/>
        <v>0.26</v>
      </c>
      <c r="K51" s="537">
        <f t="shared" si="34"/>
        <v>0.4</v>
      </c>
      <c r="L51" s="537">
        <f t="shared" si="34"/>
        <v>0.4</v>
      </c>
      <c r="M51" s="537">
        <f t="shared" si="34"/>
        <v>0.4</v>
      </c>
      <c r="N51" s="537">
        <f t="shared" si="34"/>
        <v>0.48</v>
      </c>
      <c r="O51" s="537">
        <f t="shared" si="34"/>
        <v>0.48</v>
      </c>
      <c r="P51" s="537">
        <f t="shared" si="34"/>
        <v>0.48</v>
      </c>
      <c r="Q51" s="537">
        <f t="shared" si="34"/>
        <v>0.48</v>
      </c>
      <c r="R51" s="555">
        <f>R50*0.75</f>
        <v>0.75</v>
      </c>
      <c r="S51" s="555">
        <f t="shared" ref="S51:W51" si="35">S50*0.75</f>
        <v>0.75</v>
      </c>
      <c r="T51" s="555">
        <f t="shared" si="35"/>
        <v>0.75</v>
      </c>
      <c r="U51" s="555">
        <f t="shared" si="35"/>
        <v>0.75</v>
      </c>
      <c r="V51" s="555">
        <f t="shared" si="35"/>
        <v>0.75</v>
      </c>
      <c r="W51" s="555">
        <f t="shared" si="35"/>
        <v>0.75</v>
      </c>
      <c r="X51" s="537">
        <f>ROUND(IF(X$36*VLOOKUP(X$13,$L$3:$O$8,4,FALSE)&lt;0.01,0.01,X$36*VLOOKUP(X$13,$L$3:$O$8,4,FALSE)),2)</f>
        <v>0.48</v>
      </c>
      <c r="Y51" s="537">
        <f>ROUND(IF(Y$36*VLOOKUP(Y$13,$L$3:$O$8,4,FALSE)&lt;0.01,0.01,Y$36*VLOOKUP(Y$13,$L$3:$O$8,4,FALSE)),2)</f>
        <v>0.48</v>
      </c>
      <c r="Z51" s="537">
        <f>ROUND(IF(Z$36*VLOOKUP(Z$13,$L$3:$O$8,4,FALSE)&lt;0.01,0.01,Z$36*VLOOKUP(Z$13,$L$3:$O$8,4,FALSE)),2)</f>
        <v>0.48</v>
      </c>
      <c r="AA51" s="537">
        <f>ROUND(IF(AA$36*VLOOKUP(AA$13,$L$3:$O$8,4,FALSE)&lt;0.01,0.01,AA$36*VLOOKUP(AA$13,$L$3:$O$8,4,FALSE)),2)</f>
        <v>0.48</v>
      </c>
      <c r="AB51" s="538">
        <f>ROUND(IF(AB$36*VLOOKUP(AB$13,$L$3:$O$8,4,FALSE)&lt;0.01,0.01,AB$36*VLOOKUP(AB$13,$L$3:$O$8,4,FALSE)),2)</f>
        <v>0.48</v>
      </c>
      <c r="AC51" s="95">
        <f>ROUND(IF(AC$36*$O$8&lt;0.01,0.01,AC$36*$O$8),2)</f>
        <v>0.42</v>
      </c>
      <c r="AD51" s="537">
        <f>ROUND(IF(AD$36*$O$8&lt;0.01,0.01,AD$36*$O$8),2)</f>
        <v>0.48</v>
      </c>
      <c r="AE51" s="537">
        <f>ROUND(IF(AE$36*$O$8&lt;0.01,0.01,AE$36*$O$8),2)</f>
        <v>0.48</v>
      </c>
      <c r="AF51" s="537">
        <f>ROUND(IF(AF$36*$O$8&lt;0.01,0.01,AF$36*$O$8),2)</f>
        <v>0.48</v>
      </c>
      <c r="AG51" s="555">
        <f t="shared" ref="AG51:AP51" si="36">AG50*0.75</f>
        <v>0.75</v>
      </c>
      <c r="AH51" s="555">
        <f t="shared" si="36"/>
        <v>0.75</v>
      </c>
      <c r="AI51" s="555">
        <f t="shared" si="36"/>
        <v>0.75</v>
      </c>
      <c r="AJ51" s="555">
        <f t="shared" si="36"/>
        <v>0.75</v>
      </c>
      <c r="AK51" s="555">
        <f t="shared" si="36"/>
        <v>0.75</v>
      </c>
      <c r="AL51" s="555">
        <f t="shared" si="36"/>
        <v>0.75</v>
      </c>
      <c r="AM51" s="555">
        <f t="shared" si="36"/>
        <v>0.75</v>
      </c>
      <c r="AN51" s="555">
        <f t="shared" si="36"/>
        <v>0.75</v>
      </c>
      <c r="AO51" s="555">
        <f t="shared" si="36"/>
        <v>0.75</v>
      </c>
      <c r="AP51" s="556">
        <f t="shared" si="36"/>
        <v>0.75</v>
      </c>
      <c r="AQ51" s="118">
        <f>ROUND(IF(AQ$36*$O$3&lt;0.01,0.01,AQ$36*$O$3),2)</f>
        <v>0.11</v>
      </c>
    </row>
    <row r="52" spans="1:43" ht="12.75" x14ac:dyDescent="0.2">
      <c r="A52" s="528" t="s">
        <v>155</v>
      </c>
      <c r="B52" s="557"/>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97"/>
      <c r="AD52" s="559"/>
      <c r="AE52" s="559"/>
      <c r="AF52" s="559"/>
      <c r="AG52" s="559"/>
      <c r="AH52" s="559"/>
      <c r="AI52" s="559"/>
      <c r="AJ52" s="559"/>
      <c r="AK52" s="559"/>
      <c r="AL52" s="559"/>
      <c r="AM52" s="559"/>
      <c r="AN52" s="559"/>
      <c r="AO52" s="559"/>
      <c r="AP52" s="560"/>
      <c r="AQ52" s="531"/>
    </row>
    <row r="53" spans="1:43" x14ac:dyDescent="0.2">
      <c r="A53" s="507" t="str">
        <f t="shared" ref="A53:A60" si="37">A86</f>
        <v>Pilot Upper Limit</v>
      </c>
      <c r="B53" s="319">
        <f t="shared" ref="B53:AQ53" si="38">$B$86</f>
        <v>4</v>
      </c>
      <c r="C53" s="319">
        <f t="shared" si="38"/>
        <v>4</v>
      </c>
      <c r="D53" s="319">
        <f t="shared" si="38"/>
        <v>4</v>
      </c>
      <c r="E53" s="319">
        <f t="shared" si="38"/>
        <v>4</v>
      </c>
      <c r="F53" s="319">
        <f t="shared" si="38"/>
        <v>4</v>
      </c>
      <c r="G53" s="319">
        <f t="shared" si="38"/>
        <v>4</v>
      </c>
      <c r="H53" s="319">
        <f t="shared" si="38"/>
        <v>4</v>
      </c>
      <c r="I53" s="319">
        <f t="shared" si="38"/>
        <v>4</v>
      </c>
      <c r="J53" s="319">
        <f t="shared" si="38"/>
        <v>4</v>
      </c>
      <c r="K53" s="319">
        <f t="shared" si="38"/>
        <v>4</v>
      </c>
      <c r="L53" s="319">
        <f t="shared" si="38"/>
        <v>4</v>
      </c>
      <c r="M53" s="319">
        <f t="shared" si="38"/>
        <v>4</v>
      </c>
      <c r="N53" s="319">
        <f t="shared" si="38"/>
        <v>4</v>
      </c>
      <c r="O53" s="319">
        <f t="shared" si="38"/>
        <v>4</v>
      </c>
      <c r="P53" s="319">
        <f t="shared" si="38"/>
        <v>4</v>
      </c>
      <c r="Q53" s="319">
        <f t="shared" si="38"/>
        <v>4</v>
      </c>
      <c r="R53" s="319">
        <f t="shared" si="38"/>
        <v>4</v>
      </c>
      <c r="S53" s="319">
        <f t="shared" si="38"/>
        <v>4</v>
      </c>
      <c r="T53" s="319">
        <f t="shared" si="38"/>
        <v>4</v>
      </c>
      <c r="U53" s="319">
        <f t="shared" si="38"/>
        <v>4</v>
      </c>
      <c r="V53" s="319">
        <f t="shared" si="38"/>
        <v>4</v>
      </c>
      <c r="W53" s="319">
        <f t="shared" si="38"/>
        <v>4</v>
      </c>
      <c r="X53" s="319">
        <f t="shared" si="38"/>
        <v>4</v>
      </c>
      <c r="Y53" s="319">
        <f t="shared" si="38"/>
        <v>4</v>
      </c>
      <c r="Z53" s="319">
        <f t="shared" si="38"/>
        <v>4</v>
      </c>
      <c r="AA53" s="319">
        <f t="shared" si="38"/>
        <v>4</v>
      </c>
      <c r="AB53" s="320">
        <f t="shared" si="38"/>
        <v>4</v>
      </c>
      <c r="AC53" s="321">
        <f t="shared" si="38"/>
        <v>4</v>
      </c>
      <c r="AD53" s="319">
        <f t="shared" si="38"/>
        <v>4</v>
      </c>
      <c r="AE53" s="319">
        <f t="shared" si="38"/>
        <v>4</v>
      </c>
      <c r="AF53" s="319">
        <f t="shared" si="38"/>
        <v>4</v>
      </c>
      <c r="AG53" s="319">
        <f t="shared" si="38"/>
        <v>4</v>
      </c>
      <c r="AH53" s="319">
        <f t="shared" si="38"/>
        <v>4</v>
      </c>
      <c r="AI53" s="319">
        <f t="shared" si="38"/>
        <v>4</v>
      </c>
      <c r="AJ53" s="319">
        <f t="shared" si="38"/>
        <v>4</v>
      </c>
      <c r="AK53" s="319">
        <f t="shared" si="38"/>
        <v>4</v>
      </c>
      <c r="AL53" s="319">
        <f t="shared" si="38"/>
        <v>4</v>
      </c>
      <c r="AM53" s="319">
        <f t="shared" si="38"/>
        <v>4</v>
      </c>
      <c r="AN53" s="319">
        <f t="shared" si="38"/>
        <v>4</v>
      </c>
      <c r="AO53" s="319">
        <f t="shared" si="38"/>
        <v>4</v>
      </c>
      <c r="AP53" s="322">
        <f t="shared" si="38"/>
        <v>4</v>
      </c>
      <c r="AQ53" s="119">
        <f t="shared" si="38"/>
        <v>4</v>
      </c>
    </row>
    <row r="54" spans="1:43" x14ac:dyDescent="0.2">
      <c r="A54" s="562" t="str">
        <f t="shared" si="37"/>
        <v>Pilot Lower Limit</v>
      </c>
      <c r="B54" s="563">
        <f t="shared" ref="B54:AQ54" si="39">ROUND(IF(B$13="Deploy",MAX((B$80/100)*$B87,$B87),(B$80/100)*$B87),0)</f>
        <v>1</v>
      </c>
      <c r="C54" s="563">
        <f t="shared" si="39"/>
        <v>1</v>
      </c>
      <c r="D54" s="563">
        <f t="shared" si="39"/>
        <v>1</v>
      </c>
      <c r="E54" s="563">
        <f t="shared" si="39"/>
        <v>1</v>
      </c>
      <c r="F54" s="563">
        <f t="shared" si="39"/>
        <v>1</v>
      </c>
      <c r="G54" s="563">
        <f t="shared" si="39"/>
        <v>1</v>
      </c>
      <c r="H54" s="563">
        <f t="shared" si="39"/>
        <v>2</v>
      </c>
      <c r="I54" s="563">
        <f t="shared" si="39"/>
        <v>2</v>
      </c>
      <c r="J54" s="563">
        <f t="shared" si="39"/>
        <v>2</v>
      </c>
      <c r="K54" s="563">
        <f t="shared" si="39"/>
        <v>3</v>
      </c>
      <c r="L54" s="563">
        <f t="shared" si="39"/>
        <v>3</v>
      </c>
      <c r="M54" s="563">
        <f t="shared" si="39"/>
        <v>3</v>
      </c>
      <c r="N54" s="563">
        <f t="shared" si="39"/>
        <v>3</v>
      </c>
      <c r="O54" s="563">
        <f t="shared" si="39"/>
        <v>3</v>
      </c>
      <c r="P54" s="563">
        <f t="shared" si="39"/>
        <v>3</v>
      </c>
      <c r="Q54" s="563">
        <f t="shared" si="39"/>
        <v>3</v>
      </c>
      <c r="R54" s="563">
        <f t="shared" si="39"/>
        <v>4</v>
      </c>
      <c r="S54" s="563">
        <f t="shared" si="39"/>
        <v>4</v>
      </c>
      <c r="T54" s="563">
        <f t="shared" si="39"/>
        <v>4</v>
      </c>
      <c r="U54" s="563">
        <f t="shared" si="39"/>
        <v>4</v>
      </c>
      <c r="V54" s="563">
        <f t="shared" si="39"/>
        <v>4</v>
      </c>
      <c r="W54" s="563">
        <f t="shared" si="39"/>
        <v>4</v>
      </c>
      <c r="X54" s="563">
        <f t="shared" si="39"/>
        <v>4</v>
      </c>
      <c r="Y54" s="563">
        <f t="shared" si="39"/>
        <v>4</v>
      </c>
      <c r="Z54" s="563">
        <f t="shared" si="39"/>
        <v>3</v>
      </c>
      <c r="AA54" s="563">
        <f t="shared" si="39"/>
        <v>3</v>
      </c>
      <c r="AB54" s="564">
        <f t="shared" si="39"/>
        <v>3</v>
      </c>
      <c r="AC54" s="100">
        <f t="shared" si="39"/>
        <v>1</v>
      </c>
      <c r="AD54" s="563">
        <f t="shared" si="39"/>
        <v>2</v>
      </c>
      <c r="AE54" s="563">
        <f t="shared" si="39"/>
        <v>2</v>
      </c>
      <c r="AF54" s="563">
        <f t="shared" si="39"/>
        <v>2</v>
      </c>
      <c r="AG54" s="563">
        <f t="shared" si="39"/>
        <v>3</v>
      </c>
      <c r="AH54" s="563">
        <f t="shared" si="39"/>
        <v>3</v>
      </c>
      <c r="AI54" s="563">
        <f t="shared" si="39"/>
        <v>3</v>
      </c>
      <c r="AJ54" s="563">
        <f t="shared" si="39"/>
        <v>3</v>
      </c>
      <c r="AK54" s="563">
        <f t="shared" si="39"/>
        <v>3</v>
      </c>
      <c r="AL54" s="563">
        <f t="shared" si="39"/>
        <v>3</v>
      </c>
      <c r="AM54" s="563">
        <f t="shared" si="39"/>
        <v>4</v>
      </c>
      <c r="AN54" s="563">
        <f t="shared" si="39"/>
        <v>3</v>
      </c>
      <c r="AO54" s="563">
        <f t="shared" si="39"/>
        <v>3</v>
      </c>
      <c r="AP54" s="565">
        <f t="shared" si="39"/>
        <v>3</v>
      </c>
      <c r="AQ54" s="120">
        <f t="shared" si="39"/>
        <v>1</v>
      </c>
    </row>
    <row r="55" spans="1:43" s="21" customFormat="1" x14ac:dyDescent="0.2">
      <c r="A55" s="507" t="str">
        <f t="shared" si="37"/>
        <v>Aircrew Upper Limit</v>
      </c>
      <c r="B55" s="567">
        <f t="shared" ref="B55:AQ55" si="40">$B$88</f>
        <v>2</v>
      </c>
      <c r="C55" s="567">
        <f t="shared" si="40"/>
        <v>2</v>
      </c>
      <c r="D55" s="567">
        <f t="shared" si="40"/>
        <v>2</v>
      </c>
      <c r="E55" s="567">
        <f t="shared" si="40"/>
        <v>2</v>
      </c>
      <c r="F55" s="567">
        <f t="shared" si="40"/>
        <v>2</v>
      </c>
      <c r="G55" s="567">
        <f t="shared" si="40"/>
        <v>2</v>
      </c>
      <c r="H55" s="567">
        <f t="shared" si="40"/>
        <v>2</v>
      </c>
      <c r="I55" s="567">
        <f t="shared" si="40"/>
        <v>2</v>
      </c>
      <c r="J55" s="567">
        <f t="shared" si="40"/>
        <v>2</v>
      </c>
      <c r="K55" s="567">
        <f t="shared" si="40"/>
        <v>2</v>
      </c>
      <c r="L55" s="567">
        <f t="shared" si="40"/>
        <v>2</v>
      </c>
      <c r="M55" s="567">
        <f t="shared" si="40"/>
        <v>2</v>
      </c>
      <c r="N55" s="567">
        <f t="shared" si="40"/>
        <v>2</v>
      </c>
      <c r="O55" s="567">
        <f t="shared" si="40"/>
        <v>2</v>
      </c>
      <c r="P55" s="567">
        <f t="shared" si="40"/>
        <v>2</v>
      </c>
      <c r="Q55" s="567">
        <f t="shared" si="40"/>
        <v>2</v>
      </c>
      <c r="R55" s="567">
        <f t="shared" si="40"/>
        <v>2</v>
      </c>
      <c r="S55" s="567">
        <f t="shared" si="40"/>
        <v>2</v>
      </c>
      <c r="T55" s="567">
        <f t="shared" si="40"/>
        <v>2</v>
      </c>
      <c r="U55" s="567">
        <f t="shared" si="40"/>
        <v>2</v>
      </c>
      <c r="V55" s="567">
        <f t="shared" si="40"/>
        <v>2</v>
      </c>
      <c r="W55" s="567">
        <f t="shared" si="40"/>
        <v>2</v>
      </c>
      <c r="X55" s="567">
        <f t="shared" si="40"/>
        <v>2</v>
      </c>
      <c r="Y55" s="567">
        <f t="shared" si="40"/>
        <v>2</v>
      </c>
      <c r="Z55" s="567">
        <f t="shared" si="40"/>
        <v>2</v>
      </c>
      <c r="AA55" s="567">
        <f t="shared" si="40"/>
        <v>2</v>
      </c>
      <c r="AB55" s="568">
        <f t="shared" si="40"/>
        <v>2</v>
      </c>
      <c r="AC55" s="101">
        <f t="shared" si="40"/>
        <v>2</v>
      </c>
      <c r="AD55" s="567">
        <f t="shared" si="40"/>
        <v>2</v>
      </c>
      <c r="AE55" s="567">
        <f t="shared" si="40"/>
        <v>2</v>
      </c>
      <c r="AF55" s="567">
        <f t="shared" si="40"/>
        <v>2</v>
      </c>
      <c r="AG55" s="567">
        <f t="shared" si="40"/>
        <v>2</v>
      </c>
      <c r="AH55" s="567">
        <f t="shared" si="40"/>
        <v>2</v>
      </c>
      <c r="AI55" s="567">
        <f t="shared" si="40"/>
        <v>2</v>
      </c>
      <c r="AJ55" s="567">
        <f t="shared" si="40"/>
        <v>2</v>
      </c>
      <c r="AK55" s="567">
        <f t="shared" si="40"/>
        <v>2</v>
      </c>
      <c r="AL55" s="567">
        <f t="shared" si="40"/>
        <v>2</v>
      </c>
      <c r="AM55" s="567">
        <f t="shared" si="40"/>
        <v>2</v>
      </c>
      <c r="AN55" s="567">
        <f t="shared" si="40"/>
        <v>2</v>
      </c>
      <c r="AO55" s="567">
        <f t="shared" si="40"/>
        <v>2</v>
      </c>
      <c r="AP55" s="569">
        <f t="shared" si="40"/>
        <v>2</v>
      </c>
      <c r="AQ55" s="121">
        <f t="shared" si="40"/>
        <v>2</v>
      </c>
    </row>
    <row r="56" spans="1:43" s="21" customFormat="1" x14ac:dyDescent="0.2">
      <c r="A56" s="562" t="str">
        <f t="shared" si="37"/>
        <v>Aircrew Lower Limit</v>
      </c>
      <c r="B56" s="563">
        <f t="shared" ref="B56:AQ56" si="41">ROUND(IF(B$13="Deploy",MAX((B$80/100)*$B89,$B89),(B$80/100)*$B89),0)</f>
        <v>1</v>
      </c>
      <c r="C56" s="563">
        <f t="shared" si="41"/>
        <v>1</v>
      </c>
      <c r="D56" s="563">
        <f t="shared" si="41"/>
        <v>1</v>
      </c>
      <c r="E56" s="563">
        <f t="shared" si="41"/>
        <v>1</v>
      </c>
      <c r="F56" s="563">
        <f t="shared" si="41"/>
        <v>1</v>
      </c>
      <c r="G56" s="563">
        <f t="shared" si="41"/>
        <v>1</v>
      </c>
      <c r="H56" s="563">
        <f t="shared" si="41"/>
        <v>1</v>
      </c>
      <c r="I56" s="563">
        <f t="shared" si="41"/>
        <v>1</v>
      </c>
      <c r="J56" s="563">
        <f t="shared" si="41"/>
        <v>1</v>
      </c>
      <c r="K56" s="563">
        <f t="shared" si="41"/>
        <v>1</v>
      </c>
      <c r="L56" s="563">
        <f t="shared" si="41"/>
        <v>2</v>
      </c>
      <c r="M56" s="563">
        <f t="shared" si="41"/>
        <v>2</v>
      </c>
      <c r="N56" s="563">
        <f t="shared" si="41"/>
        <v>2</v>
      </c>
      <c r="O56" s="563">
        <f t="shared" si="41"/>
        <v>2</v>
      </c>
      <c r="P56" s="563">
        <f t="shared" si="41"/>
        <v>2</v>
      </c>
      <c r="Q56" s="563">
        <f t="shared" si="41"/>
        <v>2</v>
      </c>
      <c r="R56" s="563">
        <f t="shared" si="41"/>
        <v>2</v>
      </c>
      <c r="S56" s="563">
        <f t="shared" si="41"/>
        <v>2</v>
      </c>
      <c r="T56" s="563">
        <f t="shared" si="41"/>
        <v>2</v>
      </c>
      <c r="U56" s="563">
        <f t="shared" si="41"/>
        <v>2</v>
      </c>
      <c r="V56" s="563">
        <f t="shared" si="41"/>
        <v>2</v>
      </c>
      <c r="W56" s="563">
        <f t="shared" si="41"/>
        <v>2</v>
      </c>
      <c r="X56" s="563">
        <f t="shared" si="41"/>
        <v>2</v>
      </c>
      <c r="Y56" s="563">
        <f t="shared" si="41"/>
        <v>2</v>
      </c>
      <c r="Z56" s="563">
        <f t="shared" si="41"/>
        <v>2</v>
      </c>
      <c r="AA56" s="563">
        <f t="shared" si="41"/>
        <v>2</v>
      </c>
      <c r="AB56" s="564">
        <f t="shared" si="41"/>
        <v>2</v>
      </c>
      <c r="AC56" s="100">
        <f t="shared" si="41"/>
        <v>1</v>
      </c>
      <c r="AD56" s="563">
        <f t="shared" si="41"/>
        <v>1</v>
      </c>
      <c r="AE56" s="563">
        <f t="shared" si="41"/>
        <v>1</v>
      </c>
      <c r="AF56" s="563">
        <f t="shared" si="41"/>
        <v>1</v>
      </c>
      <c r="AG56" s="563">
        <f t="shared" si="41"/>
        <v>1</v>
      </c>
      <c r="AH56" s="563">
        <f t="shared" si="41"/>
        <v>2</v>
      </c>
      <c r="AI56" s="563">
        <f t="shared" si="41"/>
        <v>2</v>
      </c>
      <c r="AJ56" s="563">
        <f t="shared" si="41"/>
        <v>2</v>
      </c>
      <c r="AK56" s="563">
        <f t="shared" si="41"/>
        <v>2</v>
      </c>
      <c r="AL56" s="563">
        <f t="shared" si="41"/>
        <v>2</v>
      </c>
      <c r="AM56" s="563">
        <f t="shared" si="41"/>
        <v>2</v>
      </c>
      <c r="AN56" s="563">
        <f t="shared" si="41"/>
        <v>2</v>
      </c>
      <c r="AO56" s="563">
        <f t="shared" si="41"/>
        <v>2</v>
      </c>
      <c r="AP56" s="565">
        <f t="shared" si="41"/>
        <v>2</v>
      </c>
      <c r="AQ56" s="120">
        <f t="shared" si="41"/>
        <v>1</v>
      </c>
    </row>
    <row r="57" spans="1:43" s="21" customFormat="1" x14ac:dyDescent="0.2">
      <c r="A57" s="562" t="str">
        <f t="shared" si="37"/>
        <v>&gt; L4 Pilots</v>
      </c>
      <c r="B57" s="563">
        <f t="shared" ref="B57:AQ57" si="42">ROUND(IF(B$13="Deploy",MAX((B$80/100)*$B90,$B90),(B$80/100)*$B90),0)</f>
        <v>0</v>
      </c>
      <c r="C57" s="563">
        <f t="shared" si="42"/>
        <v>0</v>
      </c>
      <c r="D57" s="563">
        <f t="shared" si="42"/>
        <v>0</v>
      </c>
      <c r="E57" s="563">
        <f t="shared" si="42"/>
        <v>0</v>
      </c>
      <c r="F57" s="563">
        <f t="shared" si="42"/>
        <v>0</v>
      </c>
      <c r="G57" s="563">
        <f t="shared" si="42"/>
        <v>0</v>
      </c>
      <c r="H57" s="563">
        <f t="shared" si="42"/>
        <v>0</v>
      </c>
      <c r="I57" s="563">
        <f t="shared" si="42"/>
        <v>1</v>
      </c>
      <c r="J57" s="563">
        <f t="shared" si="42"/>
        <v>1</v>
      </c>
      <c r="K57" s="563">
        <f t="shared" si="42"/>
        <v>1</v>
      </c>
      <c r="L57" s="563">
        <f t="shared" si="42"/>
        <v>1</v>
      </c>
      <c r="M57" s="563">
        <f t="shared" si="42"/>
        <v>1</v>
      </c>
      <c r="N57" s="563">
        <f t="shared" si="42"/>
        <v>1</v>
      </c>
      <c r="O57" s="563">
        <f t="shared" si="42"/>
        <v>1</v>
      </c>
      <c r="P57" s="563">
        <f t="shared" si="42"/>
        <v>1</v>
      </c>
      <c r="Q57" s="563">
        <f t="shared" si="42"/>
        <v>1</v>
      </c>
      <c r="R57" s="563">
        <f t="shared" si="42"/>
        <v>1</v>
      </c>
      <c r="S57" s="563">
        <f t="shared" si="42"/>
        <v>1</v>
      </c>
      <c r="T57" s="563">
        <f t="shared" si="42"/>
        <v>1</v>
      </c>
      <c r="U57" s="563">
        <f t="shared" si="42"/>
        <v>1</v>
      </c>
      <c r="V57" s="563">
        <f t="shared" si="42"/>
        <v>1</v>
      </c>
      <c r="W57" s="563">
        <f t="shared" si="42"/>
        <v>1</v>
      </c>
      <c r="X57" s="563">
        <f t="shared" si="42"/>
        <v>1</v>
      </c>
      <c r="Y57" s="563">
        <f t="shared" si="42"/>
        <v>1</v>
      </c>
      <c r="Z57" s="563">
        <f t="shared" si="42"/>
        <v>1</v>
      </c>
      <c r="AA57" s="563">
        <f t="shared" si="42"/>
        <v>1</v>
      </c>
      <c r="AB57" s="564">
        <f t="shared" si="42"/>
        <v>1</v>
      </c>
      <c r="AC57" s="100">
        <f t="shared" si="42"/>
        <v>0</v>
      </c>
      <c r="AD57" s="563">
        <f t="shared" si="42"/>
        <v>0</v>
      </c>
      <c r="AE57" s="563">
        <f t="shared" si="42"/>
        <v>1</v>
      </c>
      <c r="AF57" s="563">
        <f t="shared" si="42"/>
        <v>1</v>
      </c>
      <c r="AG57" s="563">
        <f t="shared" si="42"/>
        <v>1</v>
      </c>
      <c r="AH57" s="563">
        <f t="shared" si="42"/>
        <v>1</v>
      </c>
      <c r="AI57" s="563">
        <f t="shared" si="42"/>
        <v>1</v>
      </c>
      <c r="AJ57" s="563">
        <f t="shared" si="42"/>
        <v>1</v>
      </c>
      <c r="AK57" s="563">
        <f t="shared" si="42"/>
        <v>1</v>
      </c>
      <c r="AL57" s="563">
        <f t="shared" si="42"/>
        <v>1</v>
      </c>
      <c r="AM57" s="563">
        <f t="shared" si="42"/>
        <v>1</v>
      </c>
      <c r="AN57" s="563">
        <f t="shared" si="42"/>
        <v>1</v>
      </c>
      <c r="AO57" s="563">
        <f t="shared" si="42"/>
        <v>1</v>
      </c>
      <c r="AP57" s="565">
        <f t="shared" si="42"/>
        <v>1</v>
      </c>
      <c r="AQ57" s="566">
        <f t="shared" si="42"/>
        <v>0</v>
      </c>
    </row>
    <row r="58" spans="1:43" s="21" customFormat="1" x14ac:dyDescent="0.2">
      <c r="A58" s="562" t="str">
        <f t="shared" si="37"/>
        <v>&gt; L3 Pilots</v>
      </c>
      <c r="B58" s="563">
        <f t="shared" ref="B58:AQ58" si="43">ROUND(IF(B$13="Deploy",MAX((B$80/100)*$B91,$B91),(B$80/100)*$B91),0)</f>
        <v>1</v>
      </c>
      <c r="C58" s="563">
        <f t="shared" si="43"/>
        <v>1</v>
      </c>
      <c r="D58" s="563">
        <f t="shared" si="43"/>
        <v>1</v>
      </c>
      <c r="E58" s="563">
        <f t="shared" si="43"/>
        <v>1</v>
      </c>
      <c r="F58" s="563">
        <f t="shared" si="43"/>
        <v>1</v>
      </c>
      <c r="G58" s="563">
        <f t="shared" si="43"/>
        <v>1</v>
      </c>
      <c r="H58" s="563">
        <f t="shared" si="43"/>
        <v>1</v>
      </c>
      <c r="I58" s="563">
        <f t="shared" si="43"/>
        <v>1</v>
      </c>
      <c r="J58" s="563">
        <f t="shared" si="43"/>
        <v>1</v>
      </c>
      <c r="K58" s="563">
        <f t="shared" si="43"/>
        <v>1</v>
      </c>
      <c r="L58" s="563">
        <f t="shared" si="43"/>
        <v>2</v>
      </c>
      <c r="M58" s="563">
        <f t="shared" si="43"/>
        <v>2</v>
      </c>
      <c r="N58" s="563">
        <f t="shared" si="43"/>
        <v>2</v>
      </c>
      <c r="O58" s="563">
        <f t="shared" si="43"/>
        <v>2</v>
      </c>
      <c r="P58" s="563">
        <f t="shared" si="43"/>
        <v>2</v>
      </c>
      <c r="Q58" s="563">
        <f t="shared" si="43"/>
        <v>2</v>
      </c>
      <c r="R58" s="563">
        <f t="shared" si="43"/>
        <v>2</v>
      </c>
      <c r="S58" s="563">
        <f t="shared" si="43"/>
        <v>2</v>
      </c>
      <c r="T58" s="563">
        <f t="shared" si="43"/>
        <v>2</v>
      </c>
      <c r="U58" s="563">
        <f t="shared" si="43"/>
        <v>2</v>
      </c>
      <c r="V58" s="563">
        <f t="shared" si="43"/>
        <v>2</v>
      </c>
      <c r="W58" s="563">
        <f t="shared" si="43"/>
        <v>2</v>
      </c>
      <c r="X58" s="563">
        <f t="shared" si="43"/>
        <v>2</v>
      </c>
      <c r="Y58" s="563">
        <f t="shared" si="43"/>
        <v>2</v>
      </c>
      <c r="Z58" s="563">
        <f t="shared" si="43"/>
        <v>2</v>
      </c>
      <c r="AA58" s="563">
        <f t="shared" si="43"/>
        <v>2</v>
      </c>
      <c r="AB58" s="564">
        <f t="shared" si="43"/>
        <v>2</v>
      </c>
      <c r="AC58" s="100">
        <f t="shared" si="43"/>
        <v>1</v>
      </c>
      <c r="AD58" s="563">
        <f t="shared" si="43"/>
        <v>1</v>
      </c>
      <c r="AE58" s="563">
        <f t="shared" si="43"/>
        <v>1</v>
      </c>
      <c r="AF58" s="563">
        <f t="shared" si="43"/>
        <v>1</v>
      </c>
      <c r="AG58" s="563">
        <f t="shared" si="43"/>
        <v>1</v>
      </c>
      <c r="AH58" s="563">
        <f t="shared" si="43"/>
        <v>2</v>
      </c>
      <c r="AI58" s="563">
        <f t="shared" si="43"/>
        <v>2</v>
      </c>
      <c r="AJ58" s="563">
        <f t="shared" si="43"/>
        <v>2</v>
      </c>
      <c r="AK58" s="563">
        <f t="shared" si="43"/>
        <v>2</v>
      </c>
      <c r="AL58" s="563">
        <f t="shared" si="43"/>
        <v>2</v>
      </c>
      <c r="AM58" s="563">
        <f t="shared" si="43"/>
        <v>2</v>
      </c>
      <c r="AN58" s="563">
        <f t="shared" si="43"/>
        <v>2</v>
      </c>
      <c r="AO58" s="563">
        <f t="shared" si="43"/>
        <v>2</v>
      </c>
      <c r="AP58" s="565">
        <f t="shared" si="43"/>
        <v>2</v>
      </c>
      <c r="AQ58" s="566">
        <f t="shared" si="43"/>
        <v>1</v>
      </c>
    </row>
    <row r="59" spans="1:43" s="21" customFormat="1" x14ac:dyDescent="0.2">
      <c r="A59" s="562" t="str">
        <f t="shared" si="37"/>
        <v>&gt; L2 Pilots</v>
      </c>
      <c r="B59" s="563">
        <f t="shared" ref="B59:AQ59" si="44">ROUND(IF(B$13="Deploy",MAX((B$80/100)*$B92,$B92),(B$80/100)*$B92),0)</f>
        <v>1</v>
      </c>
      <c r="C59" s="563">
        <f t="shared" si="44"/>
        <v>1</v>
      </c>
      <c r="D59" s="563">
        <f t="shared" si="44"/>
        <v>1</v>
      </c>
      <c r="E59" s="563">
        <f t="shared" si="44"/>
        <v>1</v>
      </c>
      <c r="F59" s="563">
        <f t="shared" si="44"/>
        <v>1</v>
      </c>
      <c r="G59" s="563">
        <f t="shared" si="44"/>
        <v>1</v>
      </c>
      <c r="H59" s="563">
        <f t="shared" si="44"/>
        <v>2</v>
      </c>
      <c r="I59" s="563">
        <f t="shared" si="44"/>
        <v>2</v>
      </c>
      <c r="J59" s="563">
        <f t="shared" si="44"/>
        <v>2</v>
      </c>
      <c r="K59" s="563">
        <f t="shared" si="44"/>
        <v>3</v>
      </c>
      <c r="L59" s="563">
        <f t="shared" si="44"/>
        <v>3</v>
      </c>
      <c r="M59" s="563">
        <f t="shared" si="44"/>
        <v>3</v>
      </c>
      <c r="N59" s="563">
        <f t="shared" si="44"/>
        <v>3</v>
      </c>
      <c r="O59" s="563">
        <f t="shared" si="44"/>
        <v>3</v>
      </c>
      <c r="P59" s="563">
        <f t="shared" si="44"/>
        <v>3</v>
      </c>
      <c r="Q59" s="563">
        <f t="shared" si="44"/>
        <v>3</v>
      </c>
      <c r="R59" s="563">
        <f t="shared" si="44"/>
        <v>4</v>
      </c>
      <c r="S59" s="563">
        <f t="shared" si="44"/>
        <v>4</v>
      </c>
      <c r="T59" s="563">
        <f t="shared" si="44"/>
        <v>4</v>
      </c>
      <c r="U59" s="563">
        <f t="shared" si="44"/>
        <v>4</v>
      </c>
      <c r="V59" s="563">
        <f t="shared" si="44"/>
        <v>4</v>
      </c>
      <c r="W59" s="563">
        <f t="shared" si="44"/>
        <v>4</v>
      </c>
      <c r="X59" s="563">
        <f t="shared" si="44"/>
        <v>4</v>
      </c>
      <c r="Y59" s="563">
        <f t="shared" si="44"/>
        <v>4</v>
      </c>
      <c r="Z59" s="563">
        <f t="shared" si="44"/>
        <v>3</v>
      </c>
      <c r="AA59" s="563">
        <f t="shared" si="44"/>
        <v>3</v>
      </c>
      <c r="AB59" s="564">
        <f t="shared" si="44"/>
        <v>3</v>
      </c>
      <c r="AC59" s="100">
        <f t="shared" si="44"/>
        <v>1</v>
      </c>
      <c r="AD59" s="563">
        <f t="shared" si="44"/>
        <v>2</v>
      </c>
      <c r="AE59" s="563">
        <f t="shared" si="44"/>
        <v>2</v>
      </c>
      <c r="AF59" s="563">
        <f t="shared" si="44"/>
        <v>2</v>
      </c>
      <c r="AG59" s="563">
        <f t="shared" si="44"/>
        <v>3</v>
      </c>
      <c r="AH59" s="563">
        <f t="shared" si="44"/>
        <v>3</v>
      </c>
      <c r="AI59" s="563">
        <f t="shared" si="44"/>
        <v>3</v>
      </c>
      <c r="AJ59" s="563">
        <f t="shared" si="44"/>
        <v>3</v>
      </c>
      <c r="AK59" s="563">
        <f t="shared" si="44"/>
        <v>3</v>
      </c>
      <c r="AL59" s="563">
        <f t="shared" si="44"/>
        <v>3</v>
      </c>
      <c r="AM59" s="563">
        <f t="shared" si="44"/>
        <v>4</v>
      </c>
      <c r="AN59" s="563">
        <f t="shared" si="44"/>
        <v>3</v>
      </c>
      <c r="AO59" s="563">
        <f t="shared" si="44"/>
        <v>3</v>
      </c>
      <c r="AP59" s="565">
        <f t="shared" si="44"/>
        <v>3</v>
      </c>
      <c r="AQ59" s="566">
        <f t="shared" si="44"/>
        <v>1</v>
      </c>
    </row>
    <row r="60" spans="1:43" x14ac:dyDescent="0.2">
      <c r="A60" s="562" t="str">
        <f t="shared" si="37"/>
        <v>&gt; L1 Pilots</v>
      </c>
      <c r="B60" s="563">
        <f t="shared" ref="B60:G60" si="45">ROUNDUP(IF(B$13="Deploy",MAX((B$80/100)*$B93,$B93),(B$80/100)*$B93),0)</f>
        <v>2</v>
      </c>
      <c r="C60" s="563">
        <f t="shared" si="45"/>
        <v>2</v>
      </c>
      <c r="D60" s="563">
        <f t="shared" si="45"/>
        <v>2</v>
      </c>
      <c r="E60" s="563">
        <f t="shared" si="45"/>
        <v>2</v>
      </c>
      <c r="F60" s="563">
        <f t="shared" si="45"/>
        <v>2</v>
      </c>
      <c r="G60" s="563">
        <f t="shared" si="45"/>
        <v>2</v>
      </c>
      <c r="H60" s="563">
        <f t="shared" ref="H60:AB60" si="46">ROUND(IF(H$13="Deploy",MAX((H$80/100)*$B93,$B93),(H$80/100)*$B93),0)</f>
        <v>2</v>
      </c>
      <c r="I60" s="563">
        <f t="shared" si="46"/>
        <v>2</v>
      </c>
      <c r="J60" s="563">
        <f t="shared" si="46"/>
        <v>2</v>
      </c>
      <c r="K60" s="563">
        <f t="shared" si="46"/>
        <v>3</v>
      </c>
      <c r="L60" s="563">
        <f t="shared" si="46"/>
        <v>3</v>
      </c>
      <c r="M60" s="563">
        <f t="shared" si="46"/>
        <v>3</v>
      </c>
      <c r="N60" s="563">
        <f t="shared" si="46"/>
        <v>3</v>
      </c>
      <c r="O60" s="563">
        <f t="shared" si="46"/>
        <v>3</v>
      </c>
      <c r="P60" s="563">
        <f t="shared" si="46"/>
        <v>3</v>
      </c>
      <c r="Q60" s="563">
        <f t="shared" si="46"/>
        <v>3</v>
      </c>
      <c r="R60" s="563">
        <f t="shared" si="46"/>
        <v>4</v>
      </c>
      <c r="S60" s="563">
        <f t="shared" si="46"/>
        <v>4</v>
      </c>
      <c r="T60" s="563">
        <f t="shared" si="46"/>
        <v>4</v>
      </c>
      <c r="U60" s="563">
        <f t="shared" si="46"/>
        <v>4</v>
      </c>
      <c r="V60" s="563">
        <f t="shared" si="46"/>
        <v>4</v>
      </c>
      <c r="W60" s="563">
        <f t="shared" si="46"/>
        <v>4</v>
      </c>
      <c r="X60" s="563">
        <f t="shared" si="46"/>
        <v>4</v>
      </c>
      <c r="Y60" s="563">
        <f t="shared" si="46"/>
        <v>4</v>
      </c>
      <c r="Z60" s="563">
        <f t="shared" si="46"/>
        <v>3</v>
      </c>
      <c r="AA60" s="563">
        <f t="shared" si="46"/>
        <v>3</v>
      </c>
      <c r="AB60" s="564">
        <f t="shared" si="46"/>
        <v>3</v>
      </c>
      <c r="AC60" s="100">
        <f>ROUNDUP(IF(AC$13="Deploy",MAX((AC$80/100)*$B93,$B93),(AC$80/100)*$B93),0)</f>
        <v>2</v>
      </c>
      <c r="AD60" s="563">
        <f t="shared" ref="AD60:AQ60" si="47">ROUND(IF(AD$13="Deploy",MAX((AD$80/100)*$B93,$B93),(AD$80/100)*$B93),0)</f>
        <v>2</v>
      </c>
      <c r="AE60" s="563">
        <f t="shared" si="47"/>
        <v>2</v>
      </c>
      <c r="AF60" s="563">
        <f t="shared" si="47"/>
        <v>2</v>
      </c>
      <c r="AG60" s="563">
        <f t="shared" si="47"/>
        <v>3</v>
      </c>
      <c r="AH60" s="563">
        <f t="shared" si="47"/>
        <v>3</v>
      </c>
      <c r="AI60" s="563">
        <f t="shared" si="47"/>
        <v>3</v>
      </c>
      <c r="AJ60" s="563">
        <f t="shared" si="47"/>
        <v>3</v>
      </c>
      <c r="AK60" s="563">
        <f t="shared" si="47"/>
        <v>3</v>
      </c>
      <c r="AL60" s="563">
        <f t="shared" si="47"/>
        <v>3</v>
      </c>
      <c r="AM60" s="563">
        <f t="shared" si="47"/>
        <v>4</v>
      </c>
      <c r="AN60" s="563">
        <f t="shared" si="47"/>
        <v>3</v>
      </c>
      <c r="AO60" s="563">
        <f t="shared" si="47"/>
        <v>3</v>
      </c>
      <c r="AP60" s="565">
        <f t="shared" si="47"/>
        <v>3</v>
      </c>
      <c r="AQ60" s="566">
        <f t="shared" si="47"/>
        <v>1</v>
      </c>
    </row>
    <row r="61" spans="1:43" x14ac:dyDescent="0.2">
      <c r="A61" s="562" t="str">
        <f t="shared" ref="A61:A63" si="48">A94</f>
        <v>&gt; L3 Crewman</v>
      </c>
      <c r="B61" s="563">
        <f t="shared" ref="B61:G65" si="49">ROUND(IF(B$13="Deploy",MAX((B$80/100)*$B94,$B94),(B$80/100)*$B94),0)</f>
        <v>0</v>
      </c>
      <c r="C61" s="563">
        <f t="shared" si="49"/>
        <v>0</v>
      </c>
      <c r="D61" s="563">
        <f t="shared" si="49"/>
        <v>0</v>
      </c>
      <c r="E61" s="563">
        <f t="shared" si="49"/>
        <v>0</v>
      </c>
      <c r="F61" s="563">
        <f t="shared" si="49"/>
        <v>0</v>
      </c>
      <c r="G61" s="563">
        <f t="shared" si="49"/>
        <v>0</v>
      </c>
      <c r="H61" s="563">
        <f t="shared" ref="H61:AB61" si="50">ROUND(IF(H$13="Deploy",MAX((H$80/100)*$B94,$B94),(H$80/100)*$B94),0)</f>
        <v>0</v>
      </c>
      <c r="I61" s="563">
        <f t="shared" si="50"/>
        <v>1</v>
      </c>
      <c r="J61" s="563">
        <f t="shared" si="50"/>
        <v>1</v>
      </c>
      <c r="K61" s="563">
        <f t="shared" si="50"/>
        <v>1</v>
      </c>
      <c r="L61" s="563">
        <f t="shared" si="50"/>
        <v>1</v>
      </c>
      <c r="M61" s="563">
        <f t="shared" si="50"/>
        <v>1</v>
      </c>
      <c r="N61" s="563">
        <f t="shared" si="50"/>
        <v>1</v>
      </c>
      <c r="O61" s="563">
        <f t="shared" si="50"/>
        <v>1</v>
      </c>
      <c r="P61" s="563">
        <f t="shared" si="50"/>
        <v>1</v>
      </c>
      <c r="Q61" s="563">
        <f t="shared" si="50"/>
        <v>1</v>
      </c>
      <c r="R61" s="563">
        <f t="shared" si="50"/>
        <v>1</v>
      </c>
      <c r="S61" s="563">
        <f t="shared" si="50"/>
        <v>1</v>
      </c>
      <c r="T61" s="563">
        <f t="shared" si="50"/>
        <v>1</v>
      </c>
      <c r="U61" s="563">
        <f t="shared" si="50"/>
        <v>1</v>
      </c>
      <c r="V61" s="563">
        <f t="shared" si="50"/>
        <v>1</v>
      </c>
      <c r="W61" s="563">
        <f t="shared" si="50"/>
        <v>1</v>
      </c>
      <c r="X61" s="563">
        <f t="shared" si="50"/>
        <v>1</v>
      </c>
      <c r="Y61" s="563">
        <f t="shared" si="50"/>
        <v>1</v>
      </c>
      <c r="Z61" s="563">
        <f t="shared" si="50"/>
        <v>1</v>
      </c>
      <c r="AA61" s="563">
        <f t="shared" si="50"/>
        <v>1</v>
      </c>
      <c r="AB61" s="564">
        <f t="shared" si="50"/>
        <v>1</v>
      </c>
      <c r="AC61" s="100">
        <f>ROUND(IF(AC$13="Deploy",MAX((AC$80/100)*$B94,$B94),(AC$80/100)*$B94),0)</f>
        <v>0</v>
      </c>
      <c r="AD61" s="563">
        <f t="shared" ref="AD61:AQ61" si="51">ROUND(IF(AD$13="Deploy",MAX((AD$80/100)*$B94,$B94),(AD$80/100)*$B94),0)</f>
        <v>0</v>
      </c>
      <c r="AE61" s="563">
        <f t="shared" si="51"/>
        <v>1</v>
      </c>
      <c r="AF61" s="563">
        <f t="shared" si="51"/>
        <v>1</v>
      </c>
      <c r="AG61" s="563">
        <f t="shared" si="51"/>
        <v>1</v>
      </c>
      <c r="AH61" s="563">
        <f t="shared" si="51"/>
        <v>1</v>
      </c>
      <c r="AI61" s="563">
        <f t="shared" si="51"/>
        <v>1</v>
      </c>
      <c r="AJ61" s="563">
        <f t="shared" si="51"/>
        <v>1</v>
      </c>
      <c r="AK61" s="563">
        <f t="shared" si="51"/>
        <v>1</v>
      </c>
      <c r="AL61" s="563">
        <f t="shared" si="51"/>
        <v>1</v>
      </c>
      <c r="AM61" s="563">
        <f t="shared" si="51"/>
        <v>1</v>
      </c>
      <c r="AN61" s="563">
        <f t="shared" si="51"/>
        <v>1</v>
      </c>
      <c r="AO61" s="563">
        <f t="shared" si="51"/>
        <v>1</v>
      </c>
      <c r="AP61" s="565">
        <f t="shared" si="51"/>
        <v>1</v>
      </c>
      <c r="AQ61" s="566">
        <f t="shared" si="51"/>
        <v>0</v>
      </c>
    </row>
    <row r="62" spans="1:43" x14ac:dyDescent="0.2">
      <c r="A62" s="562" t="str">
        <f t="shared" si="48"/>
        <v xml:space="preserve">&gt; L2 Crewman </v>
      </c>
      <c r="B62" s="563">
        <f t="shared" si="49"/>
        <v>1</v>
      </c>
      <c r="C62" s="563">
        <f t="shared" si="49"/>
        <v>1</v>
      </c>
      <c r="D62" s="563">
        <f t="shared" si="49"/>
        <v>1</v>
      </c>
      <c r="E62" s="563">
        <f t="shared" si="49"/>
        <v>1</v>
      </c>
      <c r="F62" s="563">
        <f t="shared" si="49"/>
        <v>1</v>
      </c>
      <c r="G62" s="563">
        <f t="shared" si="49"/>
        <v>1</v>
      </c>
      <c r="H62" s="563">
        <f t="shared" ref="H62:AB62" si="52">ROUND(IF(H$13="Deploy",MAX((H$80/100)*$B95,$B95),(H$80/100)*$B95),0)</f>
        <v>1</v>
      </c>
      <c r="I62" s="563">
        <f t="shared" si="52"/>
        <v>1</v>
      </c>
      <c r="J62" s="563">
        <f t="shared" si="52"/>
        <v>1</v>
      </c>
      <c r="K62" s="563">
        <f t="shared" si="52"/>
        <v>1</v>
      </c>
      <c r="L62" s="563">
        <f t="shared" si="52"/>
        <v>2</v>
      </c>
      <c r="M62" s="563">
        <f t="shared" si="52"/>
        <v>2</v>
      </c>
      <c r="N62" s="563">
        <f t="shared" si="52"/>
        <v>2</v>
      </c>
      <c r="O62" s="563">
        <f t="shared" si="52"/>
        <v>2</v>
      </c>
      <c r="P62" s="563">
        <f t="shared" si="52"/>
        <v>2</v>
      </c>
      <c r="Q62" s="563">
        <f t="shared" si="52"/>
        <v>2</v>
      </c>
      <c r="R62" s="563">
        <f t="shared" si="52"/>
        <v>2</v>
      </c>
      <c r="S62" s="563">
        <f t="shared" si="52"/>
        <v>2</v>
      </c>
      <c r="T62" s="563">
        <f t="shared" si="52"/>
        <v>2</v>
      </c>
      <c r="U62" s="563">
        <f t="shared" si="52"/>
        <v>2</v>
      </c>
      <c r="V62" s="563">
        <f t="shared" si="52"/>
        <v>2</v>
      </c>
      <c r="W62" s="563">
        <f t="shared" si="52"/>
        <v>2</v>
      </c>
      <c r="X62" s="563">
        <f t="shared" si="52"/>
        <v>2</v>
      </c>
      <c r="Y62" s="563">
        <f t="shared" si="52"/>
        <v>2</v>
      </c>
      <c r="Z62" s="563">
        <f t="shared" si="52"/>
        <v>2</v>
      </c>
      <c r="AA62" s="563">
        <f t="shared" si="52"/>
        <v>2</v>
      </c>
      <c r="AB62" s="564">
        <f t="shared" si="52"/>
        <v>2</v>
      </c>
      <c r="AC62" s="100">
        <f>ROUND(IF(AC$13="Deploy",MAX((AC$80/100)*$B95,$B95),(AC$80/100)*$B95),0)</f>
        <v>1</v>
      </c>
      <c r="AD62" s="563">
        <f t="shared" ref="AD62:AQ62" si="53">ROUND(IF(AD$13="Deploy",MAX((AD$80/100)*$B95,$B95),(AD$80/100)*$B95),0)</f>
        <v>1</v>
      </c>
      <c r="AE62" s="563">
        <f t="shared" si="53"/>
        <v>1</v>
      </c>
      <c r="AF62" s="563">
        <f t="shared" si="53"/>
        <v>1</v>
      </c>
      <c r="AG62" s="563">
        <f t="shared" si="53"/>
        <v>1</v>
      </c>
      <c r="AH62" s="563">
        <f t="shared" si="53"/>
        <v>2</v>
      </c>
      <c r="AI62" s="563">
        <f t="shared" si="53"/>
        <v>2</v>
      </c>
      <c r="AJ62" s="563">
        <f t="shared" si="53"/>
        <v>2</v>
      </c>
      <c r="AK62" s="563">
        <f t="shared" si="53"/>
        <v>2</v>
      </c>
      <c r="AL62" s="563">
        <f t="shared" si="53"/>
        <v>2</v>
      </c>
      <c r="AM62" s="563">
        <f t="shared" si="53"/>
        <v>2</v>
      </c>
      <c r="AN62" s="563">
        <f t="shared" si="53"/>
        <v>2</v>
      </c>
      <c r="AO62" s="563">
        <f t="shared" si="53"/>
        <v>2</v>
      </c>
      <c r="AP62" s="565">
        <f t="shared" si="53"/>
        <v>2</v>
      </c>
      <c r="AQ62" s="566">
        <f t="shared" si="53"/>
        <v>1</v>
      </c>
    </row>
    <row r="63" spans="1:43" s="74" customFormat="1" x14ac:dyDescent="0.2">
      <c r="A63" s="562" t="str">
        <f t="shared" si="48"/>
        <v xml:space="preserve">&gt; L1 Crewman </v>
      </c>
      <c r="B63" s="563">
        <f t="shared" si="49"/>
        <v>1</v>
      </c>
      <c r="C63" s="563">
        <f t="shared" si="49"/>
        <v>1</v>
      </c>
      <c r="D63" s="563">
        <f t="shared" si="49"/>
        <v>1</v>
      </c>
      <c r="E63" s="563">
        <f t="shared" si="49"/>
        <v>1</v>
      </c>
      <c r="F63" s="563">
        <f t="shared" si="49"/>
        <v>1</v>
      </c>
      <c r="G63" s="563">
        <f t="shared" si="49"/>
        <v>1</v>
      </c>
      <c r="H63" s="563">
        <f t="shared" ref="H63:AB63" si="54">ROUND(IF(H$13="Deploy",MAX((H$80/100)*$B96,$B96),(H$80/100)*$B96),0)</f>
        <v>1</v>
      </c>
      <c r="I63" s="563">
        <f t="shared" si="54"/>
        <v>1</v>
      </c>
      <c r="J63" s="563">
        <f t="shared" si="54"/>
        <v>1</v>
      </c>
      <c r="K63" s="563">
        <f t="shared" si="54"/>
        <v>1</v>
      </c>
      <c r="L63" s="563">
        <f t="shared" si="54"/>
        <v>2</v>
      </c>
      <c r="M63" s="563">
        <f t="shared" si="54"/>
        <v>2</v>
      </c>
      <c r="N63" s="563">
        <f t="shared" si="54"/>
        <v>2</v>
      </c>
      <c r="O63" s="563">
        <f t="shared" si="54"/>
        <v>2</v>
      </c>
      <c r="P63" s="563">
        <f t="shared" si="54"/>
        <v>2</v>
      </c>
      <c r="Q63" s="563">
        <f t="shared" si="54"/>
        <v>2</v>
      </c>
      <c r="R63" s="563">
        <f t="shared" si="54"/>
        <v>2</v>
      </c>
      <c r="S63" s="563">
        <f t="shared" si="54"/>
        <v>2</v>
      </c>
      <c r="T63" s="563">
        <f t="shared" si="54"/>
        <v>2</v>
      </c>
      <c r="U63" s="563">
        <f t="shared" si="54"/>
        <v>2</v>
      </c>
      <c r="V63" s="563">
        <f t="shared" si="54"/>
        <v>2</v>
      </c>
      <c r="W63" s="563">
        <f t="shared" si="54"/>
        <v>2</v>
      </c>
      <c r="X63" s="563">
        <f t="shared" si="54"/>
        <v>2</v>
      </c>
      <c r="Y63" s="563">
        <f t="shared" si="54"/>
        <v>2</v>
      </c>
      <c r="Z63" s="563">
        <f t="shared" si="54"/>
        <v>2</v>
      </c>
      <c r="AA63" s="563">
        <f t="shared" si="54"/>
        <v>2</v>
      </c>
      <c r="AB63" s="564">
        <f t="shared" si="54"/>
        <v>2</v>
      </c>
      <c r="AC63" s="100">
        <f>ROUND(IF(AC$13="Deploy",MAX((AC$80/100)*$B96,$B96),(AC$80/100)*$B96),0)</f>
        <v>1</v>
      </c>
      <c r="AD63" s="563">
        <f t="shared" ref="AD63:AQ63" si="55">ROUND(IF(AD$13="Deploy",MAX((AD$80/100)*$B96,$B96),(AD$80/100)*$B96),0)</f>
        <v>1</v>
      </c>
      <c r="AE63" s="563">
        <f t="shared" si="55"/>
        <v>1</v>
      </c>
      <c r="AF63" s="563">
        <f t="shared" si="55"/>
        <v>1</v>
      </c>
      <c r="AG63" s="563">
        <f t="shared" si="55"/>
        <v>1</v>
      </c>
      <c r="AH63" s="563">
        <f t="shared" si="55"/>
        <v>2</v>
      </c>
      <c r="AI63" s="563">
        <f t="shared" si="55"/>
        <v>2</v>
      </c>
      <c r="AJ63" s="563">
        <f t="shared" si="55"/>
        <v>2</v>
      </c>
      <c r="AK63" s="563">
        <f t="shared" si="55"/>
        <v>2</v>
      </c>
      <c r="AL63" s="563">
        <f t="shared" si="55"/>
        <v>2</v>
      </c>
      <c r="AM63" s="563">
        <f t="shared" si="55"/>
        <v>2</v>
      </c>
      <c r="AN63" s="563">
        <f t="shared" si="55"/>
        <v>2</v>
      </c>
      <c r="AO63" s="563">
        <f t="shared" si="55"/>
        <v>2</v>
      </c>
      <c r="AP63" s="565">
        <f t="shared" si="55"/>
        <v>2</v>
      </c>
      <c r="AQ63" s="566">
        <f t="shared" si="55"/>
        <v>1</v>
      </c>
    </row>
    <row r="64" spans="1:43" s="74" customFormat="1" x14ac:dyDescent="0.2">
      <c r="A64" s="562" t="str">
        <f>A97</f>
        <v>DLQ Current HACS</v>
      </c>
      <c r="B64" s="563">
        <f t="shared" si="49"/>
        <v>1</v>
      </c>
      <c r="C64" s="563">
        <f t="shared" si="49"/>
        <v>1</v>
      </c>
      <c r="D64" s="563">
        <f t="shared" si="49"/>
        <v>1</v>
      </c>
      <c r="E64" s="563">
        <f t="shared" si="49"/>
        <v>1</v>
      </c>
      <c r="F64" s="563">
        <f t="shared" si="49"/>
        <v>1</v>
      </c>
      <c r="G64" s="563">
        <f t="shared" si="49"/>
        <v>1</v>
      </c>
      <c r="H64" s="563">
        <f t="shared" ref="H64:AB64" si="56">ROUND(IF(H$13="Deploy",MAX((H$80/100)*$B97,$B97),(H$80/100)*$B97),0)</f>
        <v>1</v>
      </c>
      <c r="I64" s="563">
        <f t="shared" si="56"/>
        <v>1</v>
      </c>
      <c r="J64" s="563">
        <f t="shared" si="56"/>
        <v>1</v>
      </c>
      <c r="K64" s="563">
        <f t="shared" si="56"/>
        <v>1</v>
      </c>
      <c r="L64" s="563">
        <f t="shared" si="56"/>
        <v>2</v>
      </c>
      <c r="M64" s="563">
        <f t="shared" si="56"/>
        <v>2</v>
      </c>
      <c r="N64" s="563">
        <f t="shared" si="56"/>
        <v>2</v>
      </c>
      <c r="O64" s="563">
        <f t="shared" si="56"/>
        <v>2</v>
      </c>
      <c r="P64" s="563">
        <f t="shared" si="56"/>
        <v>2</v>
      </c>
      <c r="Q64" s="563">
        <f t="shared" si="56"/>
        <v>2</v>
      </c>
      <c r="R64" s="563">
        <f t="shared" si="56"/>
        <v>2</v>
      </c>
      <c r="S64" s="563">
        <f t="shared" si="56"/>
        <v>2</v>
      </c>
      <c r="T64" s="563">
        <f t="shared" si="56"/>
        <v>2</v>
      </c>
      <c r="U64" s="563">
        <f t="shared" si="56"/>
        <v>2</v>
      </c>
      <c r="V64" s="563">
        <f t="shared" si="56"/>
        <v>2</v>
      </c>
      <c r="W64" s="563">
        <f t="shared" si="56"/>
        <v>2</v>
      </c>
      <c r="X64" s="563">
        <f t="shared" si="56"/>
        <v>2</v>
      </c>
      <c r="Y64" s="563">
        <f t="shared" si="56"/>
        <v>2</v>
      </c>
      <c r="Z64" s="563">
        <f t="shared" si="56"/>
        <v>2</v>
      </c>
      <c r="AA64" s="563">
        <f t="shared" si="56"/>
        <v>2</v>
      </c>
      <c r="AB64" s="564">
        <f t="shared" si="56"/>
        <v>2</v>
      </c>
      <c r="AC64" s="100">
        <f>ROUND(IF(AC$13="Deploy",MAX((AC$80/100)*$B97,$B97),(AC$80/100)*$B97),0)</f>
        <v>1</v>
      </c>
      <c r="AD64" s="563">
        <f t="shared" ref="AD64:AQ64" si="57">ROUND(IF(AD$13="Deploy",MAX((AD$80/100)*$B97,$B97),(AD$80/100)*$B97),0)</f>
        <v>1</v>
      </c>
      <c r="AE64" s="563">
        <f t="shared" si="57"/>
        <v>1</v>
      </c>
      <c r="AF64" s="563">
        <f t="shared" si="57"/>
        <v>1</v>
      </c>
      <c r="AG64" s="563">
        <f t="shared" si="57"/>
        <v>1</v>
      </c>
      <c r="AH64" s="563">
        <f t="shared" si="57"/>
        <v>2</v>
      </c>
      <c r="AI64" s="563">
        <f t="shared" si="57"/>
        <v>2</v>
      </c>
      <c r="AJ64" s="563">
        <f t="shared" si="57"/>
        <v>2</v>
      </c>
      <c r="AK64" s="563">
        <f t="shared" si="57"/>
        <v>2</v>
      </c>
      <c r="AL64" s="563">
        <f t="shared" si="57"/>
        <v>2</v>
      </c>
      <c r="AM64" s="563">
        <f t="shared" si="57"/>
        <v>2</v>
      </c>
      <c r="AN64" s="563">
        <f t="shared" si="57"/>
        <v>2</v>
      </c>
      <c r="AO64" s="563">
        <f t="shared" si="57"/>
        <v>2</v>
      </c>
      <c r="AP64" s="565">
        <f t="shared" si="57"/>
        <v>2</v>
      </c>
      <c r="AQ64" s="566">
        <f t="shared" si="57"/>
        <v>1</v>
      </c>
    </row>
    <row r="65" spans="1:43" s="74" customFormat="1" ht="12.75" thickBot="1" x14ac:dyDescent="0.25">
      <c r="A65" s="562" t="str">
        <f>A98</f>
        <v>Required Skilled Crews</v>
      </c>
      <c r="B65" s="563">
        <f t="shared" si="49"/>
        <v>1</v>
      </c>
      <c r="C65" s="563">
        <f t="shared" si="49"/>
        <v>1</v>
      </c>
      <c r="D65" s="563">
        <f t="shared" si="49"/>
        <v>1</v>
      </c>
      <c r="E65" s="563">
        <f t="shared" si="49"/>
        <v>1</v>
      </c>
      <c r="F65" s="563">
        <f t="shared" si="49"/>
        <v>1</v>
      </c>
      <c r="G65" s="563">
        <f t="shared" si="49"/>
        <v>1</v>
      </c>
      <c r="H65" s="563">
        <f t="shared" ref="H65:AB65" si="58">ROUND(IF(H$13="Deploy",MAX((H$80/100)*$B98,$B98),(H$80/100)*$B98),0)</f>
        <v>1</v>
      </c>
      <c r="I65" s="563">
        <f t="shared" si="58"/>
        <v>1</v>
      </c>
      <c r="J65" s="563">
        <f t="shared" si="58"/>
        <v>1</v>
      </c>
      <c r="K65" s="563">
        <f t="shared" si="58"/>
        <v>1</v>
      </c>
      <c r="L65" s="563">
        <f t="shared" si="58"/>
        <v>2</v>
      </c>
      <c r="M65" s="563">
        <f t="shared" si="58"/>
        <v>2</v>
      </c>
      <c r="N65" s="563">
        <f t="shared" si="58"/>
        <v>2</v>
      </c>
      <c r="O65" s="563">
        <f t="shared" si="58"/>
        <v>2</v>
      </c>
      <c r="P65" s="563">
        <f t="shared" si="58"/>
        <v>2</v>
      </c>
      <c r="Q65" s="563">
        <f t="shared" si="58"/>
        <v>2</v>
      </c>
      <c r="R65" s="563">
        <f t="shared" si="58"/>
        <v>2</v>
      </c>
      <c r="S65" s="563">
        <f t="shared" si="58"/>
        <v>2</v>
      </c>
      <c r="T65" s="563">
        <f t="shared" si="58"/>
        <v>2</v>
      </c>
      <c r="U65" s="563">
        <f t="shared" si="58"/>
        <v>2</v>
      </c>
      <c r="V65" s="563">
        <f t="shared" si="58"/>
        <v>2</v>
      </c>
      <c r="W65" s="563">
        <f t="shared" si="58"/>
        <v>2</v>
      </c>
      <c r="X65" s="563">
        <f t="shared" si="58"/>
        <v>2</v>
      </c>
      <c r="Y65" s="563">
        <f t="shared" si="58"/>
        <v>2</v>
      </c>
      <c r="Z65" s="563">
        <f t="shared" si="58"/>
        <v>2</v>
      </c>
      <c r="AA65" s="563">
        <f t="shared" si="58"/>
        <v>2</v>
      </c>
      <c r="AB65" s="564">
        <f t="shared" si="58"/>
        <v>2</v>
      </c>
      <c r="AC65" s="254">
        <f>ROUND(IF(AC$13="Deploy",MAX((AC$80/100)*$B98,$B98),(AC$80/100)*$B98),0)</f>
        <v>1</v>
      </c>
      <c r="AD65" s="255">
        <f t="shared" ref="AD65:AQ65" si="59">ROUND(IF(AD$13="Deploy",MAX((AD$80/100)*$B98,$B98),(AD$80/100)*$B98),0)</f>
        <v>1</v>
      </c>
      <c r="AE65" s="255">
        <f t="shared" si="59"/>
        <v>1</v>
      </c>
      <c r="AF65" s="255">
        <f t="shared" si="59"/>
        <v>1</v>
      </c>
      <c r="AG65" s="255">
        <f t="shared" si="59"/>
        <v>1</v>
      </c>
      <c r="AH65" s="255">
        <f t="shared" si="59"/>
        <v>2</v>
      </c>
      <c r="AI65" s="255">
        <f t="shared" si="59"/>
        <v>2</v>
      </c>
      <c r="AJ65" s="255">
        <f t="shared" si="59"/>
        <v>2</v>
      </c>
      <c r="AK65" s="255">
        <f t="shared" si="59"/>
        <v>2</v>
      </c>
      <c r="AL65" s="255">
        <f t="shared" si="59"/>
        <v>2</v>
      </c>
      <c r="AM65" s="255">
        <f t="shared" si="59"/>
        <v>2</v>
      </c>
      <c r="AN65" s="255">
        <f t="shared" si="59"/>
        <v>2</v>
      </c>
      <c r="AO65" s="255">
        <f t="shared" si="59"/>
        <v>2</v>
      </c>
      <c r="AP65" s="256">
        <f t="shared" si="59"/>
        <v>2</v>
      </c>
      <c r="AQ65" s="566">
        <f t="shared" si="59"/>
        <v>1</v>
      </c>
    </row>
    <row r="66" spans="1:43" s="74" customForma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41"/>
    </row>
    <row r="67" spans="1:43" x14ac:dyDescent="0.2">
      <c r="A67" s="64"/>
      <c r="B67" s="64"/>
      <c r="C67" s="64"/>
      <c r="D67" s="64"/>
      <c r="E67" s="64"/>
      <c r="F67" s="64"/>
      <c r="G67" s="64"/>
      <c r="H67" s="70"/>
      <c r="I67" s="71"/>
      <c r="J67" s="71"/>
      <c r="K67" s="72"/>
      <c r="L67" s="72"/>
      <c r="M67" s="73"/>
      <c r="N67" s="74"/>
      <c r="O67" s="74"/>
      <c r="P67" s="74"/>
      <c r="Q67" s="72"/>
      <c r="R67" s="75"/>
      <c r="S67" s="72"/>
      <c r="T67" s="64"/>
      <c r="U67" s="74"/>
      <c r="V67" s="64"/>
      <c r="W67" s="64"/>
      <c r="X67" s="64"/>
      <c r="Y67" s="64"/>
      <c r="Z67" s="64"/>
      <c r="AA67" s="64"/>
      <c r="AB67" s="64"/>
      <c r="AC67" s="74"/>
      <c r="AD67" s="74"/>
      <c r="AE67" s="74"/>
      <c r="AF67" s="74"/>
      <c r="AG67" s="74"/>
      <c r="AH67" s="74"/>
      <c r="AI67" s="74"/>
      <c r="AJ67" s="74"/>
      <c r="AK67" s="74"/>
      <c r="AL67" s="74"/>
      <c r="AM67" s="74"/>
      <c r="AN67" s="74"/>
      <c r="AO67" s="74"/>
      <c r="AP67" s="74"/>
    </row>
    <row r="68" spans="1:43" x14ac:dyDescent="0.2">
      <c r="A68" s="64"/>
      <c r="B68" s="64"/>
      <c r="C68" s="64"/>
      <c r="D68" s="64"/>
      <c r="E68" s="64"/>
      <c r="F68" s="64"/>
      <c r="G68" s="64"/>
      <c r="H68" s="76"/>
      <c r="I68" s="77"/>
      <c r="J68" s="71"/>
      <c r="K68" s="72"/>
      <c r="L68" s="72"/>
      <c r="M68" s="76"/>
      <c r="N68" s="77"/>
      <c r="O68" s="74"/>
      <c r="P68" s="74"/>
      <c r="Q68" s="72"/>
      <c r="R68" s="28"/>
      <c r="S68" s="74"/>
      <c r="T68" s="78"/>
      <c r="U68" s="74"/>
      <c r="V68" s="64"/>
      <c r="W68" s="64"/>
      <c r="X68" s="64"/>
      <c r="Y68" s="64"/>
      <c r="Z68" s="64"/>
      <c r="AA68" s="64"/>
      <c r="AB68" s="64"/>
      <c r="AC68" s="74"/>
      <c r="AD68" s="74"/>
      <c r="AE68" s="74"/>
      <c r="AF68" s="74"/>
      <c r="AG68" s="74"/>
      <c r="AH68" s="74"/>
      <c r="AI68" s="74"/>
      <c r="AJ68" s="74"/>
      <c r="AK68" s="74"/>
      <c r="AL68" s="74"/>
      <c r="AM68" s="74"/>
      <c r="AN68" s="74"/>
      <c r="AO68" s="74"/>
      <c r="AP68" s="74"/>
    </row>
    <row r="69" spans="1:43" x14ac:dyDescent="0.2">
      <c r="A69" s="64"/>
      <c r="B69" s="64"/>
      <c r="C69" s="64"/>
      <c r="D69" s="64"/>
      <c r="E69" s="64"/>
      <c r="F69" s="64"/>
      <c r="G69" s="64"/>
      <c r="H69" s="33"/>
      <c r="I69" s="77"/>
      <c r="J69" s="71"/>
      <c r="K69" s="72"/>
      <c r="L69" s="72"/>
      <c r="M69" s="33"/>
      <c r="N69" s="77"/>
      <c r="O69" s="71"/>
      <c r="P69" s="74"/>
      <c r="Q69" s="72"/>
      <c r="R69" s="28"/>
      <c r="S69" s="74"/>
      <c r="T69" s="79"/>
      <c r="U69" s="74"/>
      <c r="V69" s="64"/>
      <c r="W69" s="64"/>
      <c r="X69" s="64"/>
      <c r="Y69" s="64"/>
      <c r="Z69" s="64"/>
      <c r="AA69" s="64"/>
      <c r="AB69" s="64"/>
      <c r="AC69" s="74"/>
      <c r="AD69" s="74"/>
      <c r="AE69" s="74"/>
      <c r="AF69" s="74"/>
      <c r="AG69" s="74"/>
      <c r="AH69" s="74"/>
      <c r="AI69" s="74"/>
      <c r="AJ69" s="74"/>
      <c r="AK69" s="74"/>
      <c r="AL69" s="74"/>
      <c r="AM69" s="74"/>
      <c r="AN69" s="74"/>
      <c r="AO69" s="74"/>
      <c r="AP69" s="74"/>
      <c r="AQ69" s="21"/>
    </row>
    <row r="70" spans="1:43" x14ac:dyDescent="0.2">
      <c r="A70" s="64"/>
      <c r="B70" s="64"/>
      <c r="C70" s="64"/>
      <c r="D70" s="64"/>
      <c r="E70" s="64"/>
      <c r="F70" s="64"/>
      <c r="G70" s="64"/>
      <c r="H70" s="33"/>
      <c r="I70" s="77"/>
      <c r="J70" s="71"/>
      <c r="K70" s="72"/>
      <c r="L70" s="72"/>
      <c r="M70" s="33"/>
      <c r="N70" s="77"/>
      <c r="O70" s="71"/>
      <c r="P70" s="74"/>
      <c r="Q70" s="72"/>
      <c r="R70" s="28"/>
      <c r="S70" s="74"/>
      <c r="T70" s="79"/>
      <c r="U70" s="74"/>
      <c r="V70" s="64"/>
      <c r="W70" s="64"/>
      <c r="X70" s="64"/>
      <c r="Y70" s="64"/>
      <c r="Z70" s="64"/>
      <c r="AA70" s="64"/>
      <c r="AB70" s="64"/>
      <c r="AC70" s="74"/>
      <c r="AD70" s="74"/>
      <c r="AE70" s="74"/>
      <c r="AF70" s="74"/>
      <c r="AG70" s="74"/>
      <c r="AH70" s="74"/>
      <c r="AI70" s="74"/>
      <c r="AJ70" s="74"/>
      <c r="AK70" s="74"/>
      <c r="AL70" s="74"/>
      <c r="AM70" s="74"/>
      <c r="AN70" s="74"/>
      <c r="AO70" s="74"/>
      <c r="AP70" s="74"/>
      <c r="AQ70" s="21"/>
    </row>
    <row r="71" spans="1:43" x14ac:dyDescent="0.2">
      <c r="A71" s="64"/>
      <c r="B71" s="64"/>
      <c r="C71" s="64"/>
      <c r="D71" s="64"/>
      <c r="E71" s="64"/>
      <c r="F71" s="64"/>
      <c r="G71" s="64"/>
      <c r="H71" s="33"/>
      <c r="I71" s="77"/>
      <c r="J71" s="71"/>
      <c r="K71" s="72"/>
      <c r="L71" s="72"/>
      <c r="M71" s="33"/>
      <c r="N71" s="77"/>
      <c r="O71" s="71"/>
      <c r="P71" s="74"/>
      <c r="Q71" s="72"/>
      <c r="R71" s="28"/>
      <c r="S71" s="74"/>
      <c r="T71" s="79"/>
      <c r="U71" s="74"/>
      <c r="V71" s="64"/>
      <c r="W71" s="64"/>
      <c r="X71" s="64"/>
      <c r="Y71" s="64"/>
      <c r="Z71" s="64"/>
      <c r="AA71" s="64"/>
      <c r="AB71" s="64"/>
      <c r="AC71" s="74"/>
      <c r="AD71" s="74"/>
      <c r="AE71" s="74"/>
      <c r="AF71" s="74"/>
      <c r="AG71" s="74"/>
      <c r="AH71" s="74"/>
      <c r="AI71" s="74"/>
      <c r="AJ71" s="74"/>
      <c r="AK71" s="74"/>
      <c r="AL71" s="74"/>
      <c r="AM71" s="74"/>
      <c r="AN71" s="74"/>
      <c r="AO71" s="74"/>
      <c r="AP71" s="74"/>
      <c r="AQ71" s="21"/>
    </row>
    <row r="72" spans="1:43" x14ac:dyDescent="0.2">
      <c r="A72" s="64"/>
      <c r="B72" s="64"/>
      <c r="C72" s="64"/>
      <c r="D72" s="64"/>
      <c r="E72" s="64"/>
      <c r="F72" s="64"/>
      <c r="G72" s="64"/>
      <c r="H72" s="33"/>
      <c r="I72" s="77"/>
      <c r="J72" s="71"/>
      <c r="K72" s="72"/>
      <c r="L72" s="72"/>
      <c r="M72" s="33"/>
      <c r="N72" s="77"/>
      <c r="O72" s="71"/>
      <c r="P72" s="74"/>
      <c r="Q72" s="72"/>
      <c r="R72" s="28"/>
      <c r="S72" s="74"/>
      <c r="T72" s="79"/>
      <c r="U72" s="74"/>
      <c r="V72" s="64"/>
      <c r="W72" s="64"/>
      <c r="X72" s="64"/>
      <c r="Y72" s="64"/>
      <c r="Z72" s="64"/>
      <c r="AA72" s="64"/>
      <c r="AB72" s="64"/>
      <c r="AC72" s="74"/>
      <c r="AD72" s="74"/>
      <c r="AE72" s="74"/>
      <c r="AF72" s="74"/>
      <c r="AG72" s="74"/>
      <c r="AH72" s="74"/>
      <c r="AI72" s="74"/>
      <c r="AJ72" s="74"/>
      <c r="AK72" s="74"/>
      <c r="AL72" s="74"/>
      <c r="AM72" s="74"/>
      <c r="AN72" s="74"/>
      <c r="AO72" s="74"/>
      <c r="AP72" s="74"/>
      <c r="AQ72" s="21"/>
    </row>
    <row r="73" spans="1:43" ht="12.75" thickBot="1" x14ac:dyDescent="0.25">
      <c r="A73" s="64"/>
      <c r="B73" s="64"/>
      <c r="C73" s="64"/>
      <c r="D73" s="64"/>
      <c r="E73" s="64"/>
      <c r="F73" s="64"/>
      <c r="G73" s="64"/>
      <c r="H73" s="33"/>
      <c r="I73" s="77"/>
      <c r="J73" s="71"/>
      <c r="K73" s="72"/>
      <c r="L73" s="72"/>
      <c r="M73" s="33"/>
      <c r="N73" s="77"/>
      <c r="O73" s="71"/>
      <c r="P73" s="74"/>
      <c r="Q73" s="72"/>
      <c r="R73" s="28"/>
      <c r="S73" s="74"/>
      <c r="T73" s="79"/>
      <c r="U73" s="74"/>
      <c r="V73" s="64"/>
      <c r="W73" s="64"/>
      <c r="X73" s="64"/>
      <c r="Y73" s="64"/>
      <c r="Z73" s="64"/>
      <c r="AA73" s="64"/>
      <c r="AB73" s="64"/>
      <c r="AC73" s="74"/>
      <c r="AD73" s="74"/>
      <c r="AE73" s="74"/>
      <c r="AF73" s="74"/>
      <c r="AG73" s="74"/>
      <c r="AH73" s="74"/>
      <c r="AI73" s="74"/>
      <c r="AJ73" s="74"/>
      <c r="AK73" s="74"/>
      <c r="AL73" s="74"/>
      <c r="AM73" s="74"/>
      <c r="AN73" s="74"/>
      <c r="AO73" s="74"/>
      <c r="AP73" s="74"/>
      <c r="AQ73" s="21"/>
    </row>
    <row r="74" spans="1:43" ht="12.75" thickBot="1" x14ac:dyDescent="0.25">
      <c r="A74" s="717" t="s">
        <v>160</v>
      </c>
      <c r="B74" s="718"/>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9"/>
    </row>
    <row r="75" spans="1:43" x14ac:dyDescent="0.2">
      <c r="A75" s="127" t="s">
        <v>161</v>
      </c>
      <c r="B75" s="128">
        <f t="shared" ref="B75:AB75" si="60">MIN(100,B77+$B$81)</f>
        <v>41.766866457937404</v>
      </c>
      <c r="C75" s="128">
        <f t="shared" si="60"/>
        <v>41.766866457937404</v>
      </c>
      <c r="D75" s="128">
        <f t="shared" si="60"/>
        <v>41.766866457937404</v>
      </c>
      <c r="E75" s="128">
        <f t="shared" si="60"/>
        <v>41.766866457937404</v>
      </c>
      <c r="F75" s="128">
        <f t="shared" si="60"/>
        <v>41.766866457937404</v>
      </c>
      <c r="G75" s="128">
        <f t="shared" si="60"/>
        <v>41.766866457937404</v>
      </c>
      <c r="H75" s="128">
        <f t="shared" si="60"/>
        <v>41.766866457937404</v>
      </c>
      <c r="I75" s="128">
        <f t="shared" si="60"/>
        <v>56.766866457937404</v>
      </c>
      <c r="J75" s="128">
        <f t="shared" si="60"/>
        <v>78.766866457937397</v>
      </c>
      <c r="K75" s="128">
        <f t="shared" si="60"/>
        <v>96.766866457937397</v>
      </c>
      <c r="L75" s="128">
        <f t="shared" si="60"/>
        <v>100</v>
      </c>
      <c r="M75" s="128">
        <f t="shared" si="60"/>
        <v>100</v>
      </c>
      <c r="N75" s="128">
        <f t="shared" si="60"/>
        <v>100</v>
      </c>
      <c r="O75" s="128">
        <f t="shared" si="60"/>
        <v>100</v>
      </c>
      <c r="P75" s="128">
        <f t="shared" si="60"/>
        <v>100</v>
      </c>
      <c r="Q75" s="128">
        <f t="shared" si="60"/>
        <v>100</v>
      </c>
      <c r="R75" s="128">
        <f t="shared" si="60"/>
        <v>100</v>
      </c>
      <c r="S75" s="128">
        <f t="shared" si="60"/>
        <v>100</v>
      </c>
      <c r="T75" s="128">
        <f t="shared" si="60"/>
        <v>100</v>
      </c>
      <c r="U75" s="128">
        <f t="shared" si="60"/>
        <v>100</v>
      </c>
      <c r="V75" s="128">
        <f t="shared" si="60"/>
        <v>100</v>
      </c>
      <c r="W75" s="128">
        <f t="shared" si="60"/>
        <v>100</v>
      </c>
      <c r="X75" s="128">
        <f t="shared" si="60"/>
        <v>100</v>
      </c>
      <c r="Y75" s="128">
        <f t="shared" si="60"/>
        <v>100</v>
      </c>
      <c r="Z75" s="128">
        <f t="shared" si="60"/>
        <v>100</v>
      </c>
      <c r="AA75" s="128">
        <f t="shared" si="60"/>
        <v>100</v>
      </c>
      <c r="AB75" s="129">
        <f t="shared" si="60"/>
        <v>100</v>
      </c>
      <c r="AC75" s="128">
        <f t="shared" ref="AC75:AL79" si="61">G75</f>
        <v>41.766866457937404</v>
      </c>
      <c r="AD75" s="128">
        <f t="shared" si="61"/>
        <v>41.766866457937404</v>
      </c>
      <c r="AE75" s="128">
        <f t="shared" si="61"/>
        <v>56.766866457937404</v>
      </c>
      <c r="AF75" s="128">
        <f t="shared" si="61"/>
        <v>78.766866457937397</v>
      </c>
      <c r="AG75" s="128">
        <f t="shared" si="61"/>
        <v>96.766866457937397</v>
      </c>
      <c r="AH75" s="128">
        <f t="shared" si="61"/>
        <v>100</v>
      </c>
      <c r="AI75" s="128">
        <f t="shared" si="61"/>
        <v>100</v>
      </c>
      <c r="AJ75" s="128">
        <f t="shared" si="61"/>
        <v>100</v>
      </c>
      <c r="AK75" s="128">
        <f t="shared" si="61"/>
        <v>100</v>
      </c>
      <c r="AL75" s="128">
        <f t="shared" si="61"/>
        <v>100</v>
      </c>
      <c r="AM75" s="128">
        <f t="shared" ref="AM75:AP79" si="62">Y75</f>
        <v>100</v>
      </c>
      <c r="AN75" s="128">
        <f t="shared" si="62"/>
        <v>100</v>
      </c>
      <c r="AO75" s="128">
        <f t="shared" si="62"/>
        <v>100</v>
      </c>
      <c r="AP75" s="129">
        <f t="shared" si="62"/>
        <v>100</v>
      </c>
      <c r="AQ75" s="130">
        <f>MIN(100,AQ77+$B$81)</f>
        <v>73.766866457937397</v>
      </c>
    </row>
    <row r="76" spans="1:43" x14ac:dyDescent="0.2">
      <c r="A76" s="22" t="s">
        <v>162</v>
      </c>
      <c r="B76" s="582">
        <f t="shared" ref="B76:AB76" si="63">MIN(100,B77+$B$82)</f>
        <v>23.383433228968702</v>
      </c>
      <c r="C76" s="582">
        <f t="shared" si="63"/>
        <v>23.383433228968702</v>
      </c>
      <c r="D76" s="582">
        <f t="shared" si="63"/>
        <v>23.383433228968702</v>
      </c>
      <c r="E76" s="582">
        <f t="shared" si="63"/>
        <v>23.383433228968702</v>
      </c>
      <c r="F76" s="582">
        <f t="shared" si="63"/>
        <v>23.383433228968702</v>
      </c>
      <c r="G76" s="582">
        <f t="shared" si="63"/>
        <v>23.383433228968702</v>
      </c>
      <c r="H76" s="582">
        <f t="shared" si="63"/>
        <v>23.383433228968702</v>
      </c>
      <c r="I76" s="582">
        <f t="shared" si="63"/>
        <v>38.383433228968698</v>
      </c>
      <c r="J76" s="582">
        <f t="shared" si="63"/>
        <v>60.383433228968698</v>
      </c>
      <c r="K76" s="582">
        <f t="shared" si="63"/>
        <v>78.383433228968698</v>
      </c>
      <c r="L76" s="582">
        <f t="shared" si="63"/>
        <v>88.383433228968698</v>
      </c>
      <c r="M76" s="582">
        <f t="shared" si="63"/>
        <v>88.383433228968698</v>
      </c>
      <c r="N76" s="582">
        <f t="shared" si="63"/>
        <v>98.383433228968698</v>
      </c>
      <c r="O76" s="582">
        <f t="shared" si="63"/>
        <v>98.383433228968698</v>
      </c>
      <c r="P76" s="582">
        <f t="shared" si="63"/>
        <v>98.383433228968698</v>
      </c>
      <c r="Q76" s="582">
        <f t="shared" si="63"/>
        <v>98.383433228968698</v>
      </c>
      <c r="R76" s="582">
        <f t="shared" si="63"/>
        <v>100</v>
      </c>
      <c r="S76" s="582">
        <f t="shared" si="63"/>
        <v>100</v>
      </c>
      <c r="T76" s="582">
        <f t="shared" si="63"/>
        <v>100</v>
      </c>
      <c r="U76" s="582">
        <f t="shared" si="63"/>
        <v>100</v>
      </c>
      <c r="V76" s="582">
        <f t="shared" si="63"/>
        <v>100</v>
      </c>
      <c r="W76" s="582">
        <f t="shared" si="63"/>
        <v>100</v>
      </c>
      <c r="X76" s="582">
        <f t="shared" si="63"/>
        <v>98.383433228968698</v>
      </c>
      <c r="Y76" s="582">
        <f t="shared" si="63"/>
        <v>98.383433228968698</v>
      </c>
      <c r="Z76" s="582">
        <f t="shared" si="63"/>
        <v>98.383433228968698</v>
      </c>
      <c r="AA76" s="582">
        <f t="shared" si="63"/>
        <v>98.383433228968698</v>
      </c>
      <c r="AB76" s="583">
        <f t="shared" si="63"/>
        <v>98.383433228968698</v>
      </c>
      <c r="AC76" s="582">
        <f t="shared" si="61"/>
        <v>23.383433228968702</v>
      </c>
      <c r="AD76" s="582">
        <f t="shared" si="61"/>
        <v>23.383433228968702</v>
      </c>
      <c r="AE76" s="582">
        <f t="shared" si="61"/>
        <v>38.383433228968698</v>
      </c>
      <c r="AF76" s="582">
        <f t="shared" si="61"/>
        <v>60.383433228968698</v>
      </c>
      <c r="AG76" s="582">
        <f t="shared" si="61"/>
        <v>78.383433228968698</v>
      </c>
      <c r="AH76" s="582">
        <f t="shared" si="61"/>
        <v>88.383433228968698</v>
      </c>
      <c r="AI76" s="582">
        <f t="shared" si="61"/>
        <v>88.383433228968698</v>
      </c>
      <c r="AJ76" s="582">
        <f t="shared" si="61"/>
        <v>98.383433228968698</v>
      </c>
      <c r="AK76" s="582">
        <f t="shared" si="61"/>
        <v>98.383433228968698</v>
      </c>
      <c r="AL76" s="582">
        <f t="shared" si="61"/>
        <v>98.383433228968698</v>
      </c>
      <c r="AM76" s="582">
        <f t="shared" si="62"/>
        <v>98.383433228968698</v>
      </c>
      <c r="AN76" s="582">
        <f t="shared" si="62"/>
        <v>98.383433228968698</v>
      </c>
      <c r="AO76" s="582">
        <f t="shared" si="62"/>
        <v>98.383433228968698</v>
      </c>
      <c r="AP76" s="583">
        <f t="shared" si="62"/>
        <v>98.383433228968698</v>
      </c>
      <c r="AQ76" s="124">
        <f>MIN(100,AQ77+$B$82)</f>
        <v>55.383433228968698</v>
      </c>
    </row>
    <row r="77" spans="1:43" x14ac:dyDescent="0.2">
      <c r="A77" s="22" t="s">
        <v>163</v>
      </c>
      <c r="B77" s="584">
        <v>5</v>
      </c>
      <c r="C77" s="584">
        <v>5</v>
      </c>
      <c r="D77" s="584">
        <v>5</v>
      </c>
      <c r="E77" s="584">
        <v>5</v>
      </c>
      <c r="F77" s="584">
        <v>5</v>
      </c>
      <c r="G77" s="584">
        <v>5</v>
      </c>
      <c r="H77" s="584">
        <v>5</v>
      </c>
      <c r="I77" s="584">
        <v>20</v>
      </c>
      <c r="J77" s="584">
        <v>42</v>
      </c>
      <c r="K77" s="584">
        <v>60</v>
      </c>
      <c r="L77" s="584">
        <v>70</v>
      </c>
      <c r="M77" s="584">
        <v>70</v>
      </c>
      <c r="N77" s="584">
        <v>80</v>
      </c>
      <c r="O77" s="584">
        <v>80</v>
      </c>
      <c r="P77" s="584">
        <v>80</v>
      </c>
      <c r="Q77" s="584">
        <v>80</v>
      </c>
      <c r="R77" s="584">
        <v>100</v>
      </c>
      <c r="S77" s="584">
        <v>100</v>
      </c>
      <c r="T77" s="584">
        <v>100</v>
      </c>
      <c r="U77" s="584">
        <v>100</v>
      </c>
      <c r="V77" s="584">
        <v>100</v>
      </c>
      <c r="W77" s="584">
        <v>100</v>
      </c>
      <c r="X77" s="584">
        <v>80</v>
      </c>
      <c r="Y77" s="584">
        <v>80</v>
      </c>
      <c r="Z77" s="584">
        <v>80</v>
      </c>
      <c r="AA77" s="584">
        <v>80</v>
      </c>
      <c r="AB77" s="585">
        <v>80</v>
      </c>
      <c r="AC77" s="584">
        <f t="shared" si="61"/>
        <v>5</v>
      </c>
      <c r="AD77" s="584">
        <f t="shared" si="61"/>
        <v>5</v>
      </c>
      <c r="AE77" s="584">
        <f t="shared" si="61"/>
        <v>20</v>
      </c>
      <c r="AF77" s="584">
        <f t="shared" si="61"/>
        <v>42</v>
      </c>
      <c r="AG77" s="584">
        <f t="shared" si="61"/>
        <v>60</v>
      </c>
      <c r="AH77" s="584">
        <f t="shared" si="61"/>
        <v>70</v>
      </c>
      <c r="AI77" s="584">
        <f t="shared" si="61"/>
        <v>70</v>
      </c>
      <c r="AJ77" s="584">
        <f t="shared" si="61"/>
        <v>80</v>
      </c>
      <c r="AK77" s="584">
        <f t="shared" si="61"/>
        <v>80</v>
      </c>
      <c r="AL77" s="584">
        <f t="shared" si="61"/>
        <v>80</v>
      </c>
      <c r="AM77" s="584">
        <f t="shared" si="62"/>
        <v>80</v>
      </c>
      <c r="AN77" s="584">
        <f t="shared" si="62"/>
        <v>80</v>
      </c>
      <c r="AO77" s="584">
        <f t="shared" si="62"/>
        <v>80</v>
      </c>
      <c r="AP77" s="585">
        <f t="shared" si="62"/>
        <v>80</v>
      </c>
      <c r="AQ77" s="125">
        <v>37</v>
      </c>
    </row>
    <row r="78" spans="1:43" x14ac:dyDescent="0.2">
      <c r="A78" s="22" t="s">
        <v>164</v>
      </c>
      <c r="B78" s="582">
        <f t="shared" ref="B78:AB78" si="64">MIN(80,IF(B13="Deploy",80,MAX(0,B77-$B$82)))</f>
        <v>0</v>
      </c>
      <c r="C78" s="582">
        <f t="shared" si="64"/>
        <v>0</v>
      </c>
      <c r="D78" s="582">
        <f t="shared" si="64"/>
        <v>0</v>
      </c>
      <c r="E78" s="582">
        <f t="shared" si="64"/>
        <v>0</v>
      </c>
      <c r="F78" s="582">
        <f t="shared" si="64"/>
        <v>0</v>
      </c>
      <c r="G78" s="582">
        <f t="shared" si="64"/>
        <v>0</v>
      </c>
      <c r="H78" s="582">
        <f t="shared" si="64"/>
        <v>0</v>
      </c>
      <c r="I78" s="582">
        <f t="shared" si="64"/>
        <v>1.6165667710312981</v>
      </c>
      <c r="J78" s="582">
        <f t="shared" si="64"/>
        <v>23.616566771031298</v>
      </c>
      <c r="K78" s="582">
        <f t="shared" si="64"/>
        <v>41.616566771031302</v>
      </c>
      <c r="L78" s="582">
        <f t="shared" si="64"/>
        <v>51.616566771031302</v>
      </c>
      <c r="M78" s="582">
        <f t="shared" si="64"/>
        <v>51.616566771031302</v>
      </c>
      <c r="N78" s="582">
        <f t="shared" si="64"/>
        <v>61.616566771031302</v>
      </c>
      <c r="O78" s="582">
        <f t="shared" si="64"/>
        <v>61.616566771031302</v>
      </c>
      <c r="P78" s="582">
        <f t="shared" si="64"/>
        <v>61.616566771031302</v>
      </c>
      <c r="Q78" s="582">
        <f t="shared" si="64"/>
        <v>61.616566771031302</v>
      </c>
      <c r="R78" s="582">
        <f t="shared" si="64"/>
        <v>80</v>
      </c>
      <c r="S78" s="582">
        <f t="shared" si="64"/>
        <v>80</v>
      </c>
      <c r="T78" s="582">
        <f t="shared" si="64"/>
        <v>80</v>
      </c>
      <c r="U78" s="582">
        <f t="shared" si="64"/>
        <v>80</v>
      </c>
      <c r="V78" s="582">
        <f t="shared" si="64"/>
        <v>80</v>
      </c>
      <c r="W78" s="582">
        <f t="shared" si="64"/>
        <v>80</v>
      </c>
      <c r="X78" s="582">
        <f t="shared" si="64"/>
        <v>61.616566771031302</v>
      </c>
      <c r="Y78" s="582">
        <f t="shared" si="64"/>
        <v>61.616566771031302</v>
      </c>
      <c r="Z78" s="582">
        <f t="shared" si="64"/>
        <v>61.616566771031302</v>
      </c>
      <c r="AA78" s="582">
        <f t="shared" si="64"/>
        <v>61.616566771031302</v>
      </c>
      <c r="AB78" s="583">
        <f t="shared" si="64"/>
        <v>61.616566771031302</v>
      </c>
      <c r="AC78" s="582">
        <f t="shared" si="61"/>
        <v>0</v>
      </c>
      <c r="AD78" s="582">
        <f t="shared" si="61"/>
        <v>0</v>
      </c>
      <c r="AE78" s="582">
        <f t="shared" si="61"/>
        <v>1.6165667710312981</v>
      </c>
      <c r="AF78" s="582">
        <f t="shared" si="61"/>
        <v>23.616566771031298</v>
      </c>
      <c r="AG78" s="582">
        <f t="shared" si="61"/>
        <v>41.616566771031302</v>
      </c>
      <c r="AH78" s="582">
        <f t="shared" si="61"/>
        <v>51.616566771031302</v>
      </c>
      <c r="AI78" s="582">
        <f t="shared" si="61"/>
        <v>51.616566771031302</v>
      </c>
      <c r="AJ78" s="582">
        <f t="shared" si="61"/>
        <v>61.616566771031302</v>
      </c>
      <c r="AK78" s="582">
        <f t="shared" si="61"/>
        <v>61.616566771031302</v>
      </c>
      <c r="AL78" s="582">
        <f t="shared" si="61"/>
        <v>61.616566771031302</v>
      </c>
      <c r="AM78" s="582">
        <f t="shared" si="62"/>
        <v>61.616566771031302</v>
      </c>
      <c r="AN78" s="582">
        <f t="shared" si="62"/>
        <v>61.616566771031302</v>
      </c>
      <c r="AO78" s="582">
        <f t="shared" si="62"/>
        <v>61.616566771031302</v>
      </c>
      <c r="AP78" s="583">
        <f t="shared" si="62"/>
        <v>61.616566771031302</v>
      </c>
      <c r="AQ78" s="124">
        <f>MIN(80,IF(AQ3="Deploy",80,MAX(0,AQ77-$B$82)))</f>
        <v>18.616566771031298</v>
      </c>
    </row>
    <row r="79" spans="1:43" ht="12.75" thickBot="1" x14ac:dyDescent="0.25">
      <c r="A79" s="23" t="s">
        <v>165</v>
      </c>
      <c r="B79" s="24">
        <f t="shared" ref="B79:AB79" si="65">MIN(60,IF(B14="Deploy",60,MAX(0,B77-$B$81)))</f>
        <v>0</v>
      </c>
      <c r="C79" s="24">
        <f t="shared" si="65"/>
        <v>0</v>
      </c>
      <c r="D79" s="24">
        <f t="shared" si="65"/>
        <v>0</v>
      </c>
      <c r="E79" s="24">
        <f t="shared" si="65"/>
        <v>0</v>
      </c>
      <c r="F79" s="24">
        <f t="shared" si="65"/>
        <v>0</v>
      </c>
      <c r="G79" s="24">
        <f t="shared" si="65"/>
        <v>0</v>
      </c>
      <c r="H79" s="24">
        <f t="shared" si="65"/>
        <v>0</v>
      </c>
      <c r="I79" s="24">
        <f t="shared" si="65"/>
        <v>0</v>
      </c>
      <c r="J79" s="24">
        <f t="shared" si="65"/>
        <v>5.2331335420625962</v>
      </c>
      <c r="K79" s="24">
        <f t="shared" si="65"/>
        <v>23.233133542062596</v>
      </c>
      <c r="L79" s="24">
        <f t="shared" si="65"/>
        <v>33.233133542062596</v>
      </c>
      <c r="M79" s="24">
        <f t="shared" si="65"/>
        <v>33.233133542062596</v>
      </c>
      <c r="N79" s="24">
        <f t="shared" si="65"/>
        <v>43.233133542062596</v>
      </c>
      <c r="O79" s="24">
        <f t="shared" si="65"/>
        <v>43.233133542062596</v>
      </c>
      <c r="P79" s="24">
        <f t="shared" si="65"/>
        <v>43.233133542062596</v>
      </c>
      <c r="Q79" s="24">
        <f t="shared" si="65"/>
        <v>43.233133542062596</v>
      </c>
      <c r="R79" s="24">
        <f t="shared" si="65"/>
        <v>60</v>
      </c>
      <c r="S79" s="24">
        <f t="shared" si="65"/>
        <v>60</v>
      </c>
      <c r="T79" s="24">
        <f t="shared" si="65"/>
        <v>60</v>
      </c>
      <c r="U79" s="24">
        <f t="shared" si="65"/>
        <v>60</v>
      </c>
      <c r="V79" s="24">
        <f t="shared" si="65"/>
        <v>60</v>
      </c>
      <c r="W79" s="24">
        <f t="shared" si="65"/>
        <v>60</v>
      </c>
      <c r="X79" s="24">
        <f t="shared" si="65"/>
        <v>43.233133542062596</v>
      </c>
      <c r="Y79" s="24">
        <f t="shared" si="65"/>
        <v>43.233133542062596</v>
      </c>
      <c r="Z79" s="24">
        <f t="shared" si="65"/>
        <v>43.233133542062596</v>
      </c>
      <c r="AA79" s="24">
        <f t="shared" si="65"/>
        <v>43.233133542062596</v>
      </c>
      <c r="AB79" s="25">
        <f t="shared" si="65"/>
        <v>43.233133542062596</v>
      </c>
      <c r="AC79" s="24">
        <f t="shared" si="61"/>
        <v>0</v>
      </c>
      <c r="AD79" s="24">
        <f t="shared" si="61"/>
        <v>0</v>
      </c>
      <c r="AE79" s="24">
        <f t="shared" si="61"/>
        <v>0</v>
      </c>
      <c r="AF79" s="24">
        <f t="shared" si="61"/>
        <v>5.2331335420625962</v>
      </c>
      <c r="AG79" s="24">
        <f t="shared" si="61"/>
        <v>23.233133542062596</v>
      </c>
      <c r="AH79" s="24">
        <f t="shared" si="61"/>
        <v>33.233133542062596</v>
      </c>
      <c r="AI79" s="24">
        <f t="shared" si="61"/>
        <v>33.233133542062596</v>
      </c>
      <c r="AJ79" s="24">
        <f t="shared" si="61"/>
        <v>43.233133542062596</v>
      </c>
      <c r="AK79" s="24">
        <f t="shared" si="61"/>
        <v>43.233133542062596</v>
      </c>
      <c r="AL79" s="24">
        <f t="shared" si="61"/>
        <v>43.233133542062596</v>
      </c>
      <c r="AM79" s="24">
        <f t="shared" si="62"/>
        <v>43.233133542062596</v>
      </c>
      <c r="AN79" s="24">
        <f t="shared" si="62"/>
        <v>43.233133542062596</v>
      </c>
      <c r="AO79" s="24">
        <f t="shared" si="62"/>
        <v>43.233133542062596</v>
      </c>
      <c r="AP79" s="25">
        <f t="shared" si="62"/>
        <v>43.233133542062596</v>
      </c>
      <c r="AQ79" s="126">
        <f>MIN(60,IF(AQ4="Deploy",60,MAX(0,AQ77-$B$81)))</f>
        <v>0.23313354206259618</v>
      </c>
    </row>
    <row r="80" spans="1:43" ht="12.75" thickBot="1" x14ac:dyDescent="0.25">
      <c r="A80" s="264" t="s">
        <v>166</v>
      </c>
      <c r="B80" s="265">
        <v>37</v>
      </c>
      <c r="C80" s="265">
        <v>37</v>
      </c>
      <c r="D80" s="265">
        <v>37</v>
      </c>
      <c r="E80" s="265">
        <v>37</v>
      </c>
      <c r="F80" s="265">
        <v>37</v>
      </c>
      <c r="G80" s="265">
        <v>37</v>
      </c>
      <c r="H80" s="265">
        <v>46</v>
      </c>
      <c r="I80" s="265">
        <v>54</v>
      </c>
      <c r="J80" s="265">
        <v>61</v>
      </c>
      <c r="K80" s="265">
        <v>63</v>
      </c>
      <c r="L80" s="265">
        <v>75</v>
      </c>
      <c r="M80" s="265">
        <v>85</v>
      </c>
      <c r="N80" s="265">
        <v>85</v>
      </c>
      <c r="O80" s="265">
        <v>85</v>
      </c>
      <c r="P80" s="265">
        <v>85</v>
      </c>
      <c r="Q80" s="265">
        <v>85</v>
      </c>
      <c r="R80" s="265">
        <v>100</v>
      </c>
      <c r="S80" s="265">
        <v>100</v>
      </c>
      <c r="T80" s="265">
        <v>100</v>
      </c>
      <c r="U80" s="265">
        <v>100</v>
      </c>
      <c r="V80" s="265">
        <v>100</v>
      </c>
      <c r="W80" s="265">
        <v>100</v>
      </c>
      <c r="X80" s="265">
        <v>94</v>
      </c>
      <c r="Y80" s="265">
        <v>91</v>
      </c>
      <c r="Z80" s="265">
        <v>85</v>
      </c>
      <c r="AA80" s="265">
        <v>84</v>
      </c>
      <c r="AB80" s="266">
        <v>81</v>
      </c>
      <c r="AC80" s="265">
        <v>37</v>
      </c>
      <c r="AD80" s="265">
        <v>46</v>
      </c>
      <c r="AE80" s="265">
        <v>54</v>
      </c>
      <c r="AF80" s="265">
        <v>61</v>
      </c>
      <c r="AG80" s="265">
        <v>63</v>
      </c>
      <c r="AH80" s="265">
        <v>75</v>
      </c>
      <c r="AI80" s="265">
        <v>85</v>
      </c>
      <c r="AJ80" s="265">
        <v>85</v>
      </c>
      <c r="AK80" s="265">
        <v>85</v>
      </c>
      <c r="AL80" s="265">
        <v>85</v>
      </c>
      <c r="AM80" s="265">
        <v>91</v>
      </c>
      <c r="AN80" s="265">
        <v>85</v>
      </c>
      <c r="AO80" s="265">
        <v>84</v>
      </c>
      <c r="AP80" s="266">
        <v>81</v>
      </c>
      <c r="AQ80" s="267">
        <v>37</v>
      </c>
    </row>
    <row r="81" spans="1:43" x14ac:dyDescent="0.2">
      <c r="A81" s="80" t="s">
        <v>167</v>
      </c>
      <c r="B81" s="81">
        <f t="array" ref="B81">SQRT(SUM(POWER(AVERAGE(B77:AB77)-(B77:AB77),2))/COUNT(B77:AB77))*1</f>
        <v>36.766866457937404</v>
      </c>
    </row>
    <row r="82" spans="1:43" ht="12.75" thickBot="1" x14ac:dyDescent="0.25">
      <c r="A82" s="82" t="s">
        <v>168</v>
      </c>
      <c r="B82" s="83">
        <f>B81/2</f>
        <v>18.383433228968702</v>
      </c>
    </row>
    <row r="83" spans="1:43" ht="12.75" thickBo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43" ht="12.75" thickBot="1" x14ac:dyDescent="0.25">
      <c r="A84" s="745" t="s">
        <v>169</v>
      </c>
      <c r="B84" s="746"/>
      <c r="D84" s="30"/>
      <c r="E84" s="30"/>
      <c r="F84" s="30"/>
      <c r="G84" s="30"/>
      <c r="H84" s="30"/>
    </row>
    <row r="85" spans="1:43" ht="12.75" thickBot="1" x14ac:dyDescent="0.25">
      <c r="A85" s="747" t="s">
        <v>170</v>
      </c>
      <c r="B85" s="748"/>
      <c r="D85" s="30"/>
      <c r="E85" s="30"/>
      <c r="F85" s="30"/>
      <c r="G85" s="30"/>
      <c r="H85" s="30"/>
    </row>
    <row r="86" spans="1:43" ht="12.75" thickTop="1" x14ac:dyDescent="0.2">
      <c r="A86" s="26" t="s">
        <v>171</v>
      </c>
      <c r="B86" s="27">
        <v>4</v>
      </c>
      <c r="D86" s="28"/>
    </row>
    <row r="87" spans="1:43" x14ac:dyDescent="0.2">
      <c r="A87" s="31" t="s">
        <v>172</v>
      </c>
      <c r="B87" s="586">
        <v>4</v>
      </c>
      <c r="D87" s="28"/>
    </row>
    <row r="88" spans="1:43" x14ac:dyDescent="0.2">
      <c r="A88" s="26" t="s">
        <v>173</v>
      </c>
      <c r="B88" s="27">
        <v>2</v>
      </c>
      <c r="D88" s="28"/>
      <c r="H88" s="30"/>
    </row>
    <row r="89" spans="1:43" x14ac:dyDescent="0.2">
      <c r="A89" s="31" t="s">
        <v>174</v>
      </c>
      <c r="B89" s="586">
        <v>2</v>
      </c>
      <c r="D89" s="28"/>
    </row>
    <row r="90" spans="1:43" x14ac:dyDescent="0.2">
      <c r="A90" s="31" t="s">
        <v>175</v>
      </c>
      <c r="B90" s="587">
        <v>1</v>
      </c>
      <c r="D90" s="33"/>
      <c r="F90" s="29"/>
      <c r="G90" s="30"/>
      <c r="H90" s="30"/>
    </row>
    <row r="91" spans="1:43" x14ac:dyDescent="0.2">
      <c r="A91" s="31" t="s">
        <v>176</v>
      </c>
      <c r="B91" s="587">
        <v>2</v>
      </c>
      <c r="D91" s="33"/>
      <c r="F91" s="32"/>
      <c r="G91" s="30"/>
      <c r="H91" s="30"/>
    </row>
    <row r="92" spans="1:43" x14ac:dyDescent="0.2">
      <c r="A92" s="31" t="s">
        <v>177</v>
      </c>
      <c r="B92" s="587">
        <v>4</v>
      </c>
      <c r="D92" s="33"/>
      <c r="F92" s="28"/>
      <c r="G92" s="30"/>
    </row>
    <row r="93" spans="1:43" x14ac:dyDescent="0.2">
      <c r="A93" s="31" t="s">
        <v>178</v>
      </c>
      <c r="B93" s="586">
        <v>4</v>
      </c>
      <c r="D93" s="33"/>
      <c r="F93" s="28"/>
      <c r="G93" s="30"/>
      <c r="H93" s="30"/>
    </row>
    <row r="94" spans="1:43" x14ac:dyDescent="0.2">
      <c r="A94" s="31" t="s">
        <v>179</v>
      </c>
      <c r="B94" s="587">
        <v>1</v>
      </c>
      <c r="D94" s="33"/>
      <c r="F94" s="28"/>
      <c r="G94" s="30"/>
      <c r="H94" s="30"/>
    </row>
    <row r="95" spans="1:43" x14ac:dyDescent="0.2">
      <c r="A95" s="31" t="s">
        <v>180</v>
      </c>
      <c r="B95" s="588">
        <v>2</v>
      </c>
      <c r="D95" s="33"/>
      <c r="F95" s="28"/>
      <c r="G95" s="30"/>
      <c r="AQ95" s="122"/>
    </row>
    <row r="96" spans="1:43" x14ac:dyDescent="0.2">
      <c r="A96" s="31" t="s">
        <v>181</v>
      </c>
      <c r="B96" s="588">
        <v>2</v>
      </c>
      <c r="D96" s="33"/>
      <c r="F96" s="28"/>
      <c r="G96" s="30"/>
    </row>
    <row r="97" spans="1:43" x14ac:dyDescent="0.2">
      <c r="A97" s="31" t="s">
        <v>182</v>
      </c>
      <c r="B97" s="589">
        <v>2</v>
      </c>
      <c r="D97" s="33"/>
      <c r="F97" s="28"/>
      <c r="G97" s="30"/>
      <c r="H97" s="30"/>
      <c r="AB97" s="39"/>
    </row>
    <row r="98" spans="1:43" ht="12.75" thickBot="1" x14ac:dyDescent="0.25">
      <c r="A98" s="34" t="s">
        <v>183</v>
      </c>
      <c r="B98" s="35">
        <v>2</v>
      </c>
    </row>
    <row r="99" spans="1:43" ht="12.75" thickBot="1" x14ac:dyDescent="0.25"/>
    <row r="100" spans="1:43" ht="12.75" thickBot="1" x14ac:dyDescent="0.25">
      <c r="A100" s="745" t="s">
        <v>184</v>
      </c>
      <c r="B100" s="746"/>
    </row>
    <row r="101" spans="1:43" x14ac:dyDescent="0.2">
      <c r="A101" s="110" t="s">
        <v>185</v>
      </c>
      <c r="B101" s="111" t="s">
        <v>186</v>
      </c>
      <c r="C101" s="111" t="s">
        <v>186</v>
      </c>
      <c r="D101" s="111" t="s">
        <v>186</v>
      </c>
      <c r="E101" s="111"/>
      <c r="F101" s="111" t="s">
        <v>186</v>
      </c>
      <c r="G101" s="111" t="s">
        <v>186</v>
      </c>
      <c r="H101" s="111" t="s">
        <v>186</v>
      </c>
      <c r="I101" s="111" t="s">
        <v>186</v>
      </c>
      <c r="J101" s="111"/>
      <c r="K101" s="111"/>
      <c r="L101" s="111"/>
      <c r="M101" s="111"/>
      <c r="N101" s="111" t="s">
        <v>186</v>
      </c>
      <c r="O101" s="111" t="s">
        <v>186</v>
      </c>
      <c r="P101" s="111"/>
      <c r="Q101" s="111"/>
      <c r="R101" s="111"/>
      <c r="S101" s="111"/>
      <c r="T101" s="111"/>
      <c r="U101" s="111"/>
      <c r="V101" s="111"/>
      <c r="W101" s="111"/>
      <c r="X101" s="111"/>
      <c r="Y101" s="111" t="s">
        <v>186</v>
      </c>
      <c r="Z101" s="111" t="s">
        <v>186</v>
      </c>
      <c r="AA101" s="111" t="s">
        <v>186</v>
      </c>
      <c r="AB101" s="111" t="s">
        <v>186</v>
      </c>
      <c r="AC101" s="112"/>
      <c r="AD101" s="112"/>
      <c r="AE101" s="112"/>
      <c r="AF101" s="112"/>
      <c r="AG101" s="112"/>
      <c r="AH101" s="112"/>
      <c r="AI101" s="112"/>
      <c r="AJ101" s="112"/>
      <c r="AK101" s="112"/>
      <c r="AL101" s="112"/>
      <c r="AM101" s="112"/>
      <c r="AN101" s="112"/>
      <c r="AO101" s="112"/>
      <c r="AP101" s="112"/>
      <c r="AQ101" s="113" t="s">
        <v>186</v>
      </c>
    </row>
    <row r="102" spans="1:43" ht="12.75" thickBot="1" x14ac:dyDescent="0.25">
      <c r="A102" s="82" t="s">
        <v>187</v>
      </c>
      <c r="B102" s="114"/>
      <c r="C102" s="114"/>
      <c r="D102" s="114"/>
      <c r="E102" s="114"/>
      <c r="F102" s="114"/>
      <c r="G102" s="114"/>
      <c r="H102" s="114"/>
      <c r="I102" s="114"/>
      <c r="J102" s="114"/>
      <c r="K102" s="114"/>
      <c r="L102" s="114"/>
      <c r="M102" s="114"/>
      <c r="N102" s="114"/>
      <c r="O102" s="114"/>
      <c r="P102" s="114"/>
      <c r="Q102" s="114"/>
      <c r="R102" s="114" t="s">
        <v>186</v>
      </c>
      <c r="S102" s="114" t="s">
        <v>186</v>
      </c>
      <c r="T102" s="114" t="s">
        <v>186</v>
      </c>
      <c r="U102" s="114" t="s">
        <v>186</v>
      </c>
      <c r="V102" s="114" t="s">
        <v>186</v>
      </c>
      <c r="W102" s="114" t="s">
        <v>186</v>
      </c>
      <c r="X102" s="114"/>
      <c r="Y102" s="114"/>
      <c r="Z102" s="114"/>
      <c r="AA102" s="114"/>
      <c r="AB102" s="114"/>
      <c r="AC102" s="115" t="s">
        <v>186</v>
      </c>
      <c r="AD102" s="115" t="s">
        <v>186</v>
      </c>
      <c r="AE102" s="115" t="s">
        <v>186</v>
      </c>
      <c r="AF102" s="115" t="s">
        <v>186</v>
      </c>
      <c r="AG102" s="115" t="s">
        <v>186</v>
      </c>
      <c r="AH102" s="115" t="s">
        <v>186</v>
      </c>
      <c r="AI102" s="115" t="s">
        <v>186</v>
      </c>
      <c r="AJ102" s="115" t="s">
        <v>186</v>
      </c>
      <c r="AK102" s="115" t="s">
        <v>186</v>
      </c>
      <c r="AL102" s="115" t="s">
        <v>186</v>
      </c>
      <c r="AM102" s="115" t="s">
        <v>186</v>
      </c>
      <c r="AN102" s="115" t="s">
        <v>186</v>
      </c>
      <c r="AO102" s="115" t="s">
        <v>186</v>
      </c>
      <c r="AP102" s="115" t="s">
        <v>186</v>
      </c>
      <c r="AQ102" s="36"/>
    </row>
    <row r="103" spans="1:43" ht="12.75" thickBot="1" x14ac:dyDescent="0.25"/>
    <row r="104" spans="1:43" ht="13.5" thickBot="1" x14ac:dyDescent="0.25">
      <c r="A104" s="377" t="s">
        <v>188</v>
      </c>
      <c r="B104" s="736" t="s">
        <v>189</v>
      </c>
      <c r="C104" s="737"/>
      <c r="D104" s="738" t="s">
        <v>190</v>
      </c>
      <c r="E104" s="739"/>
      <c r="F104" s="740" t="s">
        <v>191</v>
      </c>
      <c r="G104" s="741"/>
      <c r="I104" s="260" t="s">
        <v>192</v>
      </c>
    </row>
    <row r="105" spans="1:43" ht="12.75" x14ac:dyDescent="0.2">
      <c r="A105" s="378" t="s">
        <v>193</v>
      </c>
      <c r="B105" s="271"/>
      <c r="C105" s="272"/>
      <c r="D105" s="272"/>
      <c r="E105" s="272"/>
      <c r="F105" s="272"/>
      <c r="G105" s="273"/>
      <c r="I105" s="144" t="s">
        <v>44</v>
      </c>
    </row>
    <row r="106" spans="1:43" x14ac:dyDescent="0.2">
      <c r="A106" s="379" t="s">
        <v>194</v>
      </c>
      <c r="B106" s="590">
        <v>1</v>
      </c>
      <c r="C106" s="590"/>
      <c r="D106" s="591"/>
      <c r="E106" s="591"/>
      <c r="F106" s="592"/>
      <c r="G106" s="593">
        <v>0</v>
      </c>
    </row>
    <row r="107" spans="1:43" x14ac:dyDescent="0.2">
      <c r="A107" s="379" t="s">
        <v>195</v>
      </c>
      <c r="B107" s="594">
        <v>1</v>
      </c>
      <c r="C107" s="253"/>
      <c r="D107" s="595"/>
      <c r="E107" s="595"/>
      <c r="F107" s="596"/>
      <c r="G107" s="597">
        <v>0</v>
      </c>
    </row>
    <row r="108" spans="1:43" x14ac:dyDescent="0.2">
      <c r="A108" s="380" t="str">
        <f t="shared" ref="A108:A121" si="66">A38</f>
        <v>Integrated Mission Systems</v>
      </c>
      <c r="B108" s="499"/>
      <c r="C108" s="598"/>
      <c r="D108" s="598"/>
      <c r="E108" s="598"/>
      <c r="F108" s="598"/>
      <c r="G108" s="599"/>
    </row>
    <row r="109" spans="1:43" x14ac:dyDescent="0.2">
      <c r="A109" s="379" t="str">
        <f t="shared" si="66"/>
        <v>Ready MH-60R Command Control Communication Mission Systems (C)</v>
      </c>
      <c r="B109" s="233">
        <v>1</v>
      </c>
      <c r="C109" s="233"/>
      <c r="D109" s="235"/>
      <c r="E109" s="235"/>
      <c r="F109" s="236"/>
      <c r="G109" s="234">
        <v>0</v>
      </c>
    </row>
    <row r="110" spans="1:43" x14ac:dyDescent="0.2">
      <c r="A110" s="379" t="str">
        <f t="shared" si="66"/>
        <v>Ready MH-60R Hawk Link Mission Systems (D)</v>
      </c>
      <c r="B110" s="590">
        <v>1</v>
      </c>
      <c r="C110" s="233"/>
      <c r="D110" s="591"/>
      <c r="E110" s="591"/>
      <c r="F110" s="592"/>
      <c r="G110" s="234">
        <v>0</v>
      </c>
    </row>
    <row r="111" spans="1:43" x14ac:dyDescent="0.2">
      <c r="A111" s="379" t="str">
        <f t="shared" si="66"/>
        <v>Ready MH-60R ASUW Mission Systems (E)</v>
      </c>
      <c r="B111" s="590">
        <v>1</v>
      </c>
      <c r="C111" s="233"/>
      <c r="D111" s="591"/>
      <c r="E111" s="591"/>
      <c r="F111" s="592"/>
      <c r="G111" s="234">
        <v>0</v>
      </c>
    </row>
    <row r="112" spans="1:43" x14ac:dyDescent="0.2">
      <c r="A112" s="379" t="str">
        <f t="shared" si="66"/>
        <v>Ready MH-60R ASW Mission Systems (F)</v>
      </c>
      <c r="B112" s="590">
        <v>1</v>
      </c>
      <c r="C112" s="233"/>
      <c r="D112" s="591"/>
      <c r="E112" s="591"/>
      <c r="F112" s="592"/>
      <c r="G112" s="234">
        <v>0</v>
      </c>
    </row>
    <row r="113" spans="1:7" x14ac:dyDescent="0.2">
      <c r="A113" s="379" t="str">
        <f t="shared" si="66"/>
        <v>Ready MH-60R Ordnance Mission Systems (G)</v>
      </c>
      <c r="B113" s="590">
        <v>1</v>
      </c>
      <c r="C113" s="233"/>
      <c r="D113" s="591"/>
      <c r="E113" s="591"/>
      <c r="F113" s="592"/>
      <c r="G113" s="593">
        <v>0</v>
      </c>
    </row>
    <row r="114" spans="1:7" x14ac:dyDescent="0.2">
      <c r="A114" s="379" t="str">
        <f t="shared" si="66"/>
        <v>Ready MH-60R Survivability Mission Systems (H)</v>
      </c>
      <c r="B114" s="594">
        <v>1</v>
      </c>
      <c r="C114" s="590"/>
      <c r="D114" s="595"/>
      <c r="E114" s="595"/>
      <c r="F114" s="596"/>
      <c r="G114" s="597">
        <v>0</v>
      </c>
    </row>
    <row r="115" spans="1:7" x14ac:dyDescent="0.2">
      <c r="A115" s="379" t="str">
        <f t="shared" si="66"/>
        <v>Ready MH-60R Basic Mission Systems (I)</v>
      </c>
      <c r="B115" s="594">
        <v>1</v>
      </c>
      <c r="C115" s="590"/>
      <c r="D115" s="595"/>
      <c r="E115" s="595"/>
      <c r="F115" s="596"/>
      <c r="G115" s="597">
        <v>0</v>
      </c>
    </row>
    <row r="116" spans="1:7" x14ac:dyDescent="0.2">
      <c r="A116" s="379" t="str">
        <f t="shared" si="66"/>
        <v>Ready MH-60R Extended Mobility Mission Systems (J)</v>
      </c>
      <c r="B116" s="594">
        <v>1</v>
      </c>
      <c r="C116" s="590"/>
      <c r="D116" s="595"/>
      <c r="E116" s="595"/>
      <c r="F116" s="596"/>
      <c r="G116" s="597">
        <v>0</v>
      </c>
    </row>
    <row r="117" spans="1:7" x14ac:dyDescent="0.2">
      <c r="A117" s="379" t="str">
        <f t="shared" si="66"/>
        <v>Ready MH-60R Shipboard Mission Systems (K)</v>
      </c>
      <c r="B117" s="594">
        <v>1</v>
      </c>
      <c r="C117" s="590"/>
      <c r="D117" s="595"/>
      <c r="E117" s="595"/>
      <c r="F117" s="596"/>
      <c r="G117" s="597">
        <v>0</v>
      </c>
    </row>
    <row r="118" spans="1:7" x14ac:dyDescent="0.2">
      <c r="A118" s="379" t="str">
        <f t="shared" si="66"/>
        <v>Ready MH-60R IMC Flight Mission Systems (L)</v>
      </c>
      <c r="B118" s="594">
        <v>1</v>
      </c>
      <c r="C118" s="590"/>
      <c r="D118" s="595"/>
      <c r="E118" s="595"/>
      <c r="F118" s="596"/>
      <c r="G118" s="597">
        <v>0</v>
      </c>
    </row>
    <row r="119" spans="1:7" x14ac:dyDescent="0.2">
      <c r="A119" s="381" t="str">
        <f t="shared" si="66"/>
        <v>Non-Integrated Mission Systems</v>
      </c>
      <c r="B119" s="499"/>
      <c r="C119" s="598"/>
      <c r="D119" s="598"/>
      <c r="E119" s="598"/>
      <c r="F119" s="598"/>
      <c r="G119" s="599"/>
    </row>
    <row r="120" spans="1:7" x14ac:dyDescent="0.2">
      <c r="A120" s="379" t="str">
        <f t="shared" si="66"/>
        <v xml:space="preserve">Assigned ALFS </v>
      </c>
      <c r="B120" s="233">
        <v>1</v>
      </c>
      <c r="C120" s="233"/>
      <c r="D120" s="235"/>
      <c r="E120" s="235"/>
      <c r="F120" s="236"/>
      <c r="G120" s="234">
        <v>0</v>
      </c>
    </row>
    <row r="121" spans="1:7" ht="12.75" thickBot="1" x14ac:dyDescent="0.25">
      <c r="A121" s="382" t="str">
        <f t="shared" si="66"/>
        <v xml:space="preserve">Ready ALFS </v>
      </c>
      <c r="B121" s="274">
        <v>1</v>
      </c>
      <c r="C121" s="274"/>
      <c r="D121" s="231"/>
      <c r="E121" s="231"/>
      <c r="F121" s="232"/>
      <c r="G121" s="275">
        <v>0</v>
      </c>
    </row>
    <row r="124" spans="1:7" x14ac:dyDescent="0.2">
      <c r="A124" s="383" t="s">
        <v>196</v>
      </c>
      <c r="B124" s="383" t="s">
        <v>212</v>
      </c>
    </row>
    <row r="125" spans="1:7" x14ac:dyDescent="0.2">
      <c r="A125" s="600" t="s">
        <v>198</v>
      </c>
      <c r="B125" s="601">
        <f>HLOOKUP($B$124,'MH-60R Mission System Summary'!$B$1:$F$12,2,FALSE)</f>
        <v>0.84853598425893895</v>
      </c>
    </row>
    <row r="126" spans="1:7" x14ac:dyDescent="0.2">
      <c r="A126" s="600" t="s">
        <v>142</v>
      </c>
      <c r="B126" s="601">
        <f>HLOOKUP($B$124,'MH-60R Mission System Summary'!$B$1:$F$12,3,FALSE)</f>
        <v>0.68830405682621854</v>
      </c>
    </row>
    <row r="127" spans="1:7" x14ac:dyDescent="0.2">
      <c r="A127" s="600" t="s">
        <v>143</v>
      </c>
      <c r="B127" s="601">
        <f>HLOOKUP($B$124,'MH-60R Mission System Summary'!$B$1:$F$12,4,FALSE)</f>
        <v>0.52404871580322121</v>
      </c>
    </row>
    <row r="128" spans="1:7" x14ac:dyDescent="0.2">
      <c r="A128" s="600" t="s">
        <v>144</v>
      </c>
      <c r="B128" s="601">
        <f>HLOOKUP($B$124,'MH-60R Mission System Summary'!$B$1:$F$12,5,FALSE)</f>
        <v>0.52357122934675915</v>
      </c>
    </row>
    <row r="129" spans="1:2" x14ac:dyDescent="0.2">
      <c r="A129" s="600" t="s">
        <v>145</v>
      </c>
      <c r="B129" s="601">
        <f>HLOOKUP($B$124,'MH-60R Mission System Summary'!$B$1:$F$12,6,FALSE)</f>
        <v>0.36138499630176446</v>
      </c>
    </row>
    <row r="130" spans="1:2" x14ac:dyDescent="0.2">
      <c r="A130" s="600" t="s">
        <v>146</v>
      </c>
      <c r="B130" s="601">
        <f>HLOOKUP($B$124,'MH-60R Mission System Summary'!$B$1:$F$12,7,FALSE)</f>
        <v>0.45211894134322561</v>
      </c>
    </row>
    <row r="131" spans="1:2" x14ac:dyDescent="0.2">
      <c r="A131" s="600" t="s">
        <v>147</v>
      </c>
      <c r="B131" s="601">
        <f>HLOOKUP($B$124,'MH-60R Mission System Summary'!$B$1:$F$12,8,FALSE)</f>
        <v>0.25768352433743502</v>
      </c>
    </row>
    <row r="132" spans="1:2" x14ac:dyDescent="0.2">
      <c r="A132" s="600" t="s">
        <v>148</v>
      </c>
      <c r="B132" s="601">
        <f>HLOOKUP($B$124,'MH-60R Mission System Summary'!$B$1:$F$12,9,FALSE)</f>
        <v>0.8573038959505983</v>
      </c>
    </row>
    <row r="133" spans="1:2" x14ac:dyDescent="0.2">
      <c r="A133" s="600" t="s">
        <v>149</v>
      </c>
      <c r="B133" s="601">
        <f>HLOOKUP($B$124,'MH-60R Mission System Summary'!$B$1:$F$12,10,FALSE)</f>
        <v>0.33273571372135763</v>
      </c>
    </row>
    <row r="134" spans="1:2" x14ac:dyDescent="0.2">
      <c r="A134" s="600" t="s">
        <v>150</v>
      </c>
      <c r="B134" s="601">
        <f>HLOOKUP($B$124,'MH-60R Mission System Summary'!$B$1:$F$12,11,FALSE)</f>
        <v>0.17707512891467972</v>
      </c>
    </row>
    <row r="135" spans="1:2" x14ac:dyDescent="0.2">
      <c r="A135" s="600" t="s">
        <v>151</v>
      </c>
      <c r="B135" s="601">
        <f>HLOOKUP($B$124,'MH-60R Mission System Summary'!$B$1:$F$12,12,FALSE)</f>
        <v>1</v>
      </c>
    </row>
  </sheetData>
  <mergeCells count="29">
    <mergeCell ref="AD1:AE1"/>
    <mergeCell ref="B104:C104"/>
    <mergeCell ref="D104:E104"/>
    <mergeCell ref="F104:G104"/>
    <mergeCell ref="X16:AB16"/>
    <mergeCell ref="A100:B100"/>
    <mergeCell ref="A74:AQ74"/>
    <mergeCell ref="A85:B85"/>
    <mergeCell ref="AD16:AF16"/>
    <mergeCell ref="AG16:AI16"/>
    <mergeCell ref="A1:G1"/>
    <mergeCell ref="Q1:W1"/>
    <mergeCell ref="L9:N9"/>
    <mergeCell ref="L2:O2"/>
    <mergeCell ref="M1:P1"/>
    <mergeCell ref="U3:W3"/>
    <mergeCell ref="L5:N5"/>
    <mergeCell ref="L4:N4"/>
    <mergeCell ref="L6:N6"/>
    <mergeCell ref="L7:N7"/>
    <mergeCell ref="AC12:AP12"/>
    <mergeCell ref="AJ16:AL16"/>
    <mergeCell ref="AM16:AP16"/>
    <mergeCell ref="A84:B84"/>
    <mergeCell ref="B16:G16"/>
    <mergeCell ref="H16:J16"/>
    <mergeCell ref="K16:M16"/>
    <mergeCell ref="N16:Q16"/>
    <mergeCell ref="R16:W16"/>
  </mergeCells>
  <conditionalFormatting sqref="C106:C115 C119:C121">
    <cfRule type="cellIs" dxfId="53" priority="26" operator="equal">
      <formula>B106</formula>
    </cfRule>
  </conditionalFormatting>
  <conditionalFormatting sqref="D106:E115 D119:E121">
    <cfRule type="cellIs" dxfId="52" priority="25" operator="equal">
      <formula>C106</formula>
    </cfRule>
  </conditionalFormatting>
  <conditionalFormatting sqref="E106">
    <cfRule type="cellIs" dxfId="51" priority="24" operator="equal">
      <formula>D106</formula>
    </cfRule>
  </conditionalFormatting>
  <conditionalFormatting sqref="F106">
    <cfRule type="cellIs" dxfId="50" priority="23" operator="equal">
      <formula>E106</formula>
    </cfRule>
  </conditionalFormatting>
  <conditionalFormatting sqref="F107:F115 F119:F121">
    <cfRule type="cellIs" dxfId="49" priority="21" operator="equal">
      <formula>G107</formula>
    </cfRule>
    <cfRule type="cellIs" dxfId="48" priority="22" operator="equal">
      <formula>E107</formula>
    </cfRule>
  </conditionalFormatting>
  <conditionalFormatting sqref="C106:C115">
    <cfRule type="cellIs" dxfId="47" priority="20" operator="equal">
      <formula>B106</formula>
    </cfRule>
  </conditionalFormatting>
  <conditionalFormatting sqref="D106:E115">
    <cfRule type="cellIs" dxfId="46" priority="19" operator="equal">
      <formula>C106</formula>
    </cfRule>
  </conditionalFormatting>
  <conditionalFormatting sqref="E106">
    <cfRule type="cellIs" dxfId="45" priority="18" operator="equal">
      <formula>D106</formula>
    </cfRule>
  </conditionalFormatting>
  <conditionalFormatting sqref="F106">
    <cfRule type="cellIs" dxfId="44" priority="17" operator="equal">
      <formula>E106</formula>
    </cfRule>
  </conditionalFormatting>
  <conditionalFormatting sqref="F107:F115">
    <cfRule type="cellIs" dxfId="43" priority="15" operator="equal">
      <formula>G107</formula>
    </cfRule>
    <cfRule type="cellIs" dxfId="42" priority="16" operator="equal">
      <formula>E107</formula>
    </cfRule>
  </conditionalFormatting>
  <conditionalFormatting sqref="F106">
    <cfRule type="cellIs" dxfId="41" priority="14" operator="equal">
      <formula>E106</formula>
    </cfRule>
  </conditionalFormatting>
  <conditionalFormatting sqref="C106">
    <cfRule type="cellIs" dxfId="40" priority="13" operator="equal">
      <formula>B106</formula>
    </cfRule>
  </conditionalFormatting>
  <conditionalFormatting sqref="D106">
    <cfRule type="cellIs" dxfId="39" priority="12" operator="equal">
      <formula>C106</formula>
    </cfRule>
  </conditionalFormatting>
  <conditionalFormatting sqref="E106">
    <cfRule type="cellIs" dxfId="38" priority="11" operator="equal">
      <formula>D106</formula>
    </cfRule>
  </conditionalFormatting>
  <conditionalFormatting sqref="D106">
    <cfRule type="cellIs" dxfId="37" priority="10" operator="equal">
      <formula>C106</formula>
    </cfRule>
  </conditionalFormatting>
  <conditionalFormatting sqref="E106">
    <cfRule type="cellIs" dxfId="36" priority="9" operator="equal">
      <formula>D106</formula>
    </cfRule>
  </conditionalFormatting>
  <conditionalFormatting sqref="C116:C118">
    <cfRule type="cellIs" dxfId="35" priority="8" operator="equal">
      <formula>B116</formula>
    </cfRule>
  </conditionalFormatting>
  <conditionalFormatting sqref="D116:E118">
    <cfRule type="cellIs" dxfId="34" priority="7" operator="equal">
      <formula>C116</formula>
    </cfRule>
  </conditionalFormatting>
  <conditionalFormatting sqref="F116:F118">
    <cfRule type="cellIs" dxfId="33" priority="5" operator="equal">
      <formula>G116</formula>
    </cfRule>
    <cfRule type="cellIs" dxfId="32" priority="6" operator="equal">
      <formula>E116</formula>
    </cfRule>
  </conditionalFormatting>
  <conditionalFormatting sqref="C116:C118">
    <cfRule type="cellIs" dxfId="31" priority="4" operator="equal">
      <formula>B116</formula>
    </cfRule>
  </conditionalFormatting>
  <conditionalFormatting sqref="D116:E118">
    <cfRule type="cellIs" dxfId="30" priority="3" operator="equal">
      <formula>C116</formula>
    </cfRule>
  </conditionalFormatting>
  <conditionalFormatting sqref="F116:F118">
    <cfRule type="cellIs" dxfId="29" priority="1" operator="equal">
      <formula>G116</formula>
    </cfRule>
    <cfRule type="cellIs" dxfId="28" priority="2" operator="equal">
      <formula>E116</formula>
    </cfRule>
  </conditionalFormatting>
  <hyperlinks>
    <hyperlink ref="H1" location="Inventory!A1" display="Inventory" xr:uid="{00000000-0004-0000-0700-000000000000}"/>
    <hyperlink ref="I104" location="'MH-60R EXP 1 Plane-2 Crew DRRS'!A1" display="Top" xr:uid="{00000000-0004-0000-0700-000001000000}"/>
    <hyperlink ref="H2" location="'MH-60R EXP 1 Plane-2 Crew DRRS'!A118" display="AMFOM" xr:uid="{00000000-0004-0000-0700-000002000000}"/>
    <hyperlink ref="I105" location="Inventory!A1" display="Inventory" xr:uid="{00000000-0004-0000-0700-000003000000}"/>
  </hyperlinks>
  <printOptions horizontalCentered="1" verticalCentered="1"/>
  <pageMargins left="0.5" right="0.25" top="0.5" bottom="0.5" header="0.5" footer="0.5"/>
  <pageSetup scale="31" orientation="landscape" r:id="rId1"/>
  <headerFooter alignWithMargins="0"/>
  <ignoredErrors>
    <ignoredError sqref="B55:AQ55 B60:G60 AC60"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AX135"/>
  <sheetViews>
    <sheetView showGridLines="0" zoomScaleNormal="100" zoomScaleSheetLayoutView="100" workbookViewId="0">
      <selection activeCell="A126" sqref="A126"/>
    </sheetView>
  </sheetViews>
  <sheetFormatPr defaultRowHeight="12" x14ac:dyDescent="0.2"/>
  <cols>
    <col min="1" max="1" width="55" style="15" bestFit="1" customWidth="1"/>
    <col min="2" max="43" width="5.7109375" style="15" customWidth="1"/>
    <col min="44" max="16384" width="9.140625" style="15"/>
  </cols>
  <sheetData>
    <row r="1" spans="1:43" s="138" customFormat="1" ht="18.75" x14ac:dyDescent="0.3">
      <c r="A1" s="720" t="s">
        <v>217</v>
      </c>
      <c r="B1" s="720"/>
      <c r="C1" s="720"/>
      <c r="D1" s="720"/>
      <c r="E1" s="720"/>
      <c r="F1" s="720"/>
      <c r="G1" s="720"/>
      <c r="H1" s="144" t="s">
        <v>44</v>
      </c>
      <c r="K1" s="139"/>
      <c r="L1" s="145" t="s">
        <v>45</v>
      </c>
      <c r="M1" s="728">
        <v>44835</v>
      </c>
      <c r="N1" s="729"/>
      <c r="O1" s="730"/>
      <c r="P1" s="730"/>
      <c r="Q1" s="720"/>
      <c r="R1" s="720"/>
      <c r="S1" s="720"/>
      <c r="T1" s="720"/>
      <c r="U1" s="720"/>
      <c r="V1" s="720"/>
      <c r="W1" s="720"/>
      <c r="AC1" s="368" t="s">
        <v>46</v>
      </c>
      <c r="AD1" s="773">
        <v>6.07</v>
      </c>
      <c r="AE1" s="773"/>
      <c r="AQ1" s="116"/>
    </row>
    <row r="2" spans="1:43" s="5" customFormat="1" ht="12.75" x14ac:dyDescent="0.2">
      <c r="A2" s="1" t="s">
        <v>47</v>
      </c>
      <c r="B2" s="2">
        <v>2</v>
      </c>
      <c r="C2" s="3"/>
      <c r="D2" s="4"/>
      <c r="H2" s="323" t="s">
        <v>3</v>
      </c>
      <c r="L2" s="742" t="s">
        <v>48</v>
      </c>
      <c r="M2" s="743"/>
      <c r="N2" s="743"/>
      <c r="O2" s="744"/>
      <c r="T2" s="43"/>
      <c r="U2" s="44"/>
      <c r="V2" s="44"/>
      <c r="W2" s="44"/>
      <c r="X2" s="7"/>
      <c r="Y2" s="7"/>
      <c r="Z2" s="7"/>
      <c r="AA2" s="7"/>
      <c r="AB2" s="7"/>
      <c r="AQ2" s="67"/>
    </row>
    <row r="3" spans="1:43" s="5" customFormat="1" ht="11.25" x14ac:dyDescent="0.2">
      <c r="A3" s="1" t="s">
        <v>49</v>
      </c>
      <c r="B3" s="2">
        <f>B4/B2</f>
        <v>1.5</v>
      </c>
      <c r="C3" s="3"/>
      <c r="D3" s="4"/>
      <c r="E3" s="1"/>
      <c r="F3" s="4"/>
      <c r="L3" s="677" t="s">
        <v>50</v>
      </c>
      <c r="M3" s="678"/>
      <c r="N3" s="679"/>
      <c r="O3" s="486">
        <v>0.2</v>
      </c>
      <c r="T3" s="44"/>
      <c r="U3" s="754"/>
      <c r="V3" s="754"/>
      <c r="W3" s="754"/>
      <c r="X3" s="7"/>
      <c r="Y3" s="7"/>
      <c r="Z3" s="7"/>
      <c r="AA3" s="7"/>
      <c r="AB3" s="7"/>
      <c r="AQ3" s="67"/>
    </row>
    <row r="4" spans="1:43" s="5" customFormat="1" ht="11.25" x14ac:dyDescent="0.2">
      <c r="A4" s="1" t="s">
        <v>51</v>
      </c>
      <c r="B4" s="2">
        <v>3</v>
      </c>
      <c r="C4" s="3"/>
      <c r="D4" s="4"/>
      <c r="E4" s="1"/>
      <c r="F4" s="4"/>
      <c r="G4" s="7"/>
      <c r="H4" s="7"/>
      <c r="L4" s="721" t="s">
        <v>52</v>
      </c>
      <c r="M4" s="722"/>
      <c r="N4" s="723"/>
      <c r="O4" s="486">
        <v>0.4</v>
      </c>
      <c r="T4" s="43"/>
      <c r="U4" s="43"/>
      <c r="V4" s="46"/>
      <c r="W4" s="46"/>
      <c r="X4" s="7"/>
      <c r="Y4" s="7"/>
      <c r="Z4" s="7"/>
      <c r="AA4" s="7"/>
      <c r="AB4" s="7"/>
      <c r="AQ4" s="67"/>
    </row>
    <row r="5" spans="1:43" s="5" customFormat="1" ht="11.25" x14ac:dyDescent="0.2">
      <c r="A5" s="1" t="s">
        <v>53</v>
      </c>
      <c r="B5" s="3">
        <v>2</v>
      </c>
      <c r="C5" s="8"/>
      <c r="D5" s="4"/>
      <c r="E5" s="1"/>
      <c r="F5" s="4"/>
      <c r="G5" s="7"/>
      <c r="H5" s="7"/>
      <c r="L5" s="750" t="s">
        <v>54</v>
      </c>
      <c r="M5" s="750"/>
      <c r="N5" s="750"/>
      <c r="O5" s="680">
        <v>0.55000000000000004</v>
      </c>
      <c r="T5" s="43"/>
      <c r="U5" s="43"/>
      <c r="V5" s="46"/>
      <c r="W5" s="46"/>
      <c r="X5" s="7"/>
      <c r="Y5" s="7"/>
      <c r="Z5" s="7"/>
      <c r="AA5" s="7"/>
      <c r="AB5" s="7"/>
      <c r="AQ5" s="67"/>
    </row>
    <row r="6" spans="1:43" s="5" customFormat="1" ht="11.25" x14ac:dyDescent="0.2">
      <c r="A6" s="9" t="s">
        <v>55</v>
      </c>
      <c r="B6" s="38">
        <v>27.4</v>
      </c>
      <c r="C6" s="8"/>
      <c r="D6" s="4"/>
      <c r="E6" s="9"/>
      <c r="F6" s="4"/>
      <c r="G6" s="7"/>
      <c r="H6" s="7"/>
      <c r="L6" s="721" t="s">
        <v>56</v>
      </c>
      <c r="M6" s="722"/>
      <c r="N6" s="723"/>
      <c r="O6" s="486">
        <v>0.55000000000000004</v>
      </c>
      <c r="T6" s="48"/>
      <c r="U6" s="49"/>
      <c r="V6" s="48"/>
      <c r="W6" s="48"/>
      <c r="X6" s="7"/>
      <c r="Y6" s="7"/>
      <c r="Z6" s="7"/>
      <c r="AA6" s="7"/>
      <c r="AB6" s="7"/>
      <c r="AQ6" s="67"/>
    </row>
    <row r="7" spans="1:43" s="5" customFormat="1" ht="11.25" x14ac:dyDescent="0.2">
      <c r="A7" s="1" t="s">
        <v>57</v>
      </c>
      <c r="B7" s="37">
        <f>B6*B4</f>
        <v>82.199999999999989</v>
      </c>
      <c r="C7" s="10"/>
      <c r="D7" s="11"/>
      <c r="E7" s="1"/>
      <c r="F7" s="4"/>
      <c r="G7" s="7"/>
      <c r="H7" s="7"/>
      <c r="L7" s="751" t="s">
        <v>58</v>
      </c>
      <c r="M7" s="752"/>
      <c r="N7" s="753"/>
      <c r="O7" s="486">
        <v>0.6</v>
      </c>
      <c r="T7" s="46"/>
      <c r="U7" s="43"/>
      <c r="V7" s="43"/>
      <c r="W7" s="46"/>
      <c r="X7" s="7"/>
      <c r="Y7" s="7"/>
      <c r="Z7" s="7"/>
      <c r="AA7" s="7"/>
      <c r="AB7" s="7"/>
      <c r="AQ7" s="67"/>
    </row>
    <row r="8" spans="1:43" s="5" customFormat="1" ht="11.25" x14ac:dyDescent="0.2">
      <c r="A8" s="1" t="s">
        <v>59</v>
      </c>
      <c r="B8" s="38">
        <f>B7/B5</f>
        <v>41.099999999999994</v>
      </c>
      <c r="C8" s="38">
        <f>B8/B4</f>
        <v>13.699999999999998</v>
      </c>
      <c r="D8" s="11" t="s">
        <v>60</v>
      </c>
      <c r="E8" s="1"/>
      <c r="F8" s="4"/>
      <c r="G8" s="7"/>
      <c r="H8" s="7"/>
      <c r="L8" s="677" t="s">
        <v>61</v>
      </c>
      <c r="M8" s="678"/>
      <c r="N8" s="679"/>
      <c r="O8" s="486">
        <v>0.75</v>
      </c>
      <c r="T8" s="46"/>
      <c r="U8" s="45"/>
      <c r="V8" s="43"/>
      <c r="W8" s="43"/>
      <c r="X8" s="7"/>
      <c r="Y8" s="7"/>
      <c r="Z8" s="7"/>
      <c r="AA8" s="7"/>
      <c r="AB8" s="7"/>
      <c r="AQ8" s="67"/>
    </row>
    <row r="9" spans="1:43" s="5" customFormat="1" ht="11.25" x14ac:dyDescent="0.2">
      <c r="A9" s="1" t="s">
        <v>62</v>
      </c>
      <c r="B9" s="38">
        <f>C9*$B$4</f>
        <v>3</v>
      </c>
      <c r="C9" s="3">
        <v>1</v>
      </c>
      <c r="D9" s="5" t="s">
        <v>60</v>
      </c>
      <c r="E9" s="1"/>
      <c r="F9" s="4"/>
      <c r="G9" s="102" t="s">
        <v>63</v>
      </c>
      <c r="H9" s="103">
        <v>0.4</v>
      </c>
      <c r="I9" s="7"/>
      <c r="J9" s="7"/>
      <c r="K9" s="7"/>
      <c r="L9" s="754" t="s">
        <v>64</v>
      </c>
      <c r="M9" s="754"/>
      <c r="N9" s="754"/>
      <c r="O9" s="7"/>
      <c r="P9" s="7"/>
      <c r="Q9" s="42"/>
      <c r="R9" s="43"/>
      <c r="S9" s="47"/>
      <c r="T9" s="46"/>
      <c r="U9" s="50"/>
      <c r="V9" s="43"/>
      <c r="W9" s="43"/>
      <c r="X9" s="7"/>
      <c r="Y9" s="7"/>
      <c r="Z9" s="7"/>
      <c r="AA9" s="7"/>
      <c r="AB9" s="7"/>
      <c r="AQ9" s="67"/>
    </row>
    <row r="10" spans="1:43" s="5" customFormat="1" ht="11.25" x14ac:dyDescent="0.2">
      <c r="A10" s="1" t="s">
        <v>65</v>
      </c>
      <c r="B10" s="38">
        <f>C10*$B$4</f>
        <v>44.28</v>
      </c>
      <c r="C10" s="3">
        <v>14.76</v>
      </c>
      <c r="D10" s="5" t="s">
        <v>60</v>
      </c>
      <c r="E10" s="1"/>
      <c r="F10" s="4"/>
      <c r="G10" s="104" t="s">
        <v>66</v>
      </c>
      <c r="H10" s="103">
        <v>0.28699999999999998</v>
      </c>
      <c r="I10" s="7"/>
      <c r="J10" s="7"/>
      <c r="K10" s="7"/>
      <c r="O10" s="7"/>
      <c r="P10" s="7"/>
      <c r="Q10" s="7"/>
      <c r="R10" s="7"/>
      <c r="S10" s="7"/>
      <c r="T10" s="7"/>
      <c r="U10" s="7"/>
      <c r="V10" s="7"/>
      <c r="W10" s="7"/>
      <c r="X10" s="7"/>
      <c r="Y10" s="7"/>
      <c r="Z10" s="7"/>
      <c r="AA10" s="7"/>
      <c r="AB10" s="7"/>
    </row>
    <row r="11" spans="1:43" s="5" customFormat="1" thickBot="1" x14ac:dyDescent="0.25">
      <c r="A11" s="215" t="s">
        <v>67</v>
      </c>
      <c r="B11" s="5">
        <f>C11*B4</f>
        <v>10.8</v>
      </c>
      <c r="C11" s="6">
        <v>3.6</v>
      </c>
      <c r="D11" s="12" t="s">
        <v>60</v>
      </c>
      <c r="E11" s="1"/>
      <c r="F11" s="4"/>
      <c r="G11" s="104"/>
      <c r="H11" s="103"/>
      <c r="I11" s="7"/>
      <c r="J11" s="7"/>
      <c r="K11" s="7"/>
      <c r="L11" s="7"/>
      <c r="M11" s="7"/>
      <c r="N11" s="7"/>
      <c r="O11" s="7"/>
      <c r="P11" s="7"/>
      <c r="Q11" s="7"/>
      <c r="R11" s="7"/>
      <c r="S11" s="7"/>
      <c r="T11" s="7"/>
      <c r="U11" s="7"/>
      <c r="V11" s="7"/>
      <c r="W11" s="7"/>
      <c r="X11" s="7"/>
      <c r="Y11" s="7"/>
      <c r="Z11" s="7"/>
      <c r="AA11" s="7"/>
      <c r="AB11" s="7"/>
    </row>
    <row r="12" spans="1:43" s="5" customFormat="1" ht="11.25" x14ac:dyDescent="0.2">
      <c r="C12" s="12"/>
      <c r="D12" s="12"/>
      <c r="E12" s="12"/>
      <c r="F12" s="7"/>
      <c r="G12" s="7"/>
      <c r="H12" s="7"/>
      <c r="I12" s="7"/>
      <c r="J12" s="7"/>
      <c r="K12" s="7"/>
      <c r="L12" s="7"/>
      <c r="M12" s="7"/>
      <c r="N12" s="7"/>
      <c r="O12" s="7"/>
      <c r="P12" s="7"/>
      <c r="Q12" s="7"/>
      <c r="R12" s="7"/>
      <c r="S12" s="7"/>
      <c r="T12" s="7"/>
      <c r="U12" s="7"/>
      <c r="V12" s="7"/>
      <c r="W12" s="7"/>
      <c r="X12" s="7"/>
      <c r="Y12" s="7"/>
      <c r="Z12" s="7"/>
      <c r="AA12" s="7"/>
      <c r="AB12" s="7"/>
      <c r="AC12" s="774" t="s">
        <v>68</v>
      </c>
      <c r="AD12" s="775"/>
      <c r="AE12" s="775"/>
      <c r="AF12" s="775"/>
      <c r="AG12" s="775"/>
      <c r="AH12" s="775"/>
      <c r="AI12" s="775"/>
      <c r="AJ12" s="775"/>
      <c r="AK12" s="775"/>
      <c r="AL12" s="775"/>
      <c r="AM12" s="775"/>
      <c r="AN12" s="775"/>
      <c r="AO12" s="775"/>
      <c r="AP12" s="776"/>
    </row>
    <row r="13" spans="1:43" s="13" customFormat="1" ht="59.25" x14ac:dyDescent="0.2">
      <c r="A13" s="488" t="s">
        <v>69</v>
      </c>
      <c r="B13" s="489" t="s">
        <v>50</v>
      </c>
      <c r="C13" s="489" t="s">
        <v>50</v>
      </c>
      <c r="D13" s="489" t="s">
        <v>50</v>
      </c>
      <c r="E13" s="489" t="s">
        <v>50</v>
      </c>
      <c r="F13" s="489" t="s">
        <v>50</v>
      </c>
      <c r="G13" s="489" t="s">
        <v>50</v>
      </c>
      <c r="H13" s="489" t="s">
        <v>52</v>
      </c>
      <c r="I13" s="489" t="s">
        <v>52</v>
      </c>
      <c r="J13" s="489" t="s">
        <v>52</v>
      </c>
      <c r="K13" s="489" t="s">
        <v>56</v>
      </c>
      <c r="L13" s="489" t="s">
        <v>56</v>
      </c>
      <c r="M13" s="489" t="s">
        <v>56</v>
      </c>
      <c r="N13" s="489" t="s">
        <v>58</v>
      </c>
      <c r="O13" s="489" t="s">
        <v>58</v>
      </c>
      <c r="P13" s="489" t="s">
        <v>58</v>
      </c>
      <c r="Q13" s="489" t="s">
        <v>58</v>
      </c>
      <c r="R13" s="489" t="s">
        <v>61</v>
      </c>
      <c r="S13" s="489" t="s">
        <v>61</v>
      </c>
      <c r="T13" s="489" t="s">
        <v>61</v>
      </c>
      <c r="U13" s="489" t="s">
        <v>61</v>
      </c>
      <c r="V13" s="489" t="s">
        <v>61</v>
      </c>
      <c r="W13" s="489" t="s">
        <v>61</v>
      </c>
      <c r="X13" s="489" t="s">
        <v>58</v>
      </c>
      <c r="Y13" s="489" t="s">
        <v>58</v>
      </c>
      <c r="Z13" s="489" t="s">
        <v>58</v>
      </c>
      <c r="AA13" s="489" t="s">
        <v>58</v>
      </c>
      <c r="AB13" s="490" t="s">
        <v>58</v>
      </c>
      <c r="AC13" s="86" t="s">
        <v>50</v>
      </c>
      <c r="AD13" s="489" t="s">
        <v>52</v>
      </c>
      <c r="AE13" s="489" t="s">
        <v>52</v>
      </c>
      <c r="AF13" s="489" t="s">
        <v>52</v>
      </c>
      <c r="AG13" s="489" t="s">
        <v>56</v>
      </c>
      <c r="AH13" s="489" t="s">
        <v>56</v>
      </c>
      <c r="AI13" s="489" t="s">
        <v>56</v>
      </c>
      <c r="AJ13" s="489" t="s">
        <v>58</v>
      </c>
      <c r="AK13" s="489" t="s">
        <v>58</v>
      </c>
      <c r="AL13" s="489" t="s">
        <v>58</v>
      </c>
      <c r="AM13" s="489" t="s">
        <v>58</v>
      </c>
      <c r="AN13" s="489" t="s">
        <v>58</v>
      </c>
      <c r="AO13" s="489" t="s">
        <v>58</v>
      </c>
      <c r="AP13" s="491" t="s">
        <v>58</v>
      </c>
      <c r="AQ13" s="492" t="s">
        <v>70</v>
      </c>
    </row>
    <row r="14" spans="1:43" s="14" customFormat="1" x14ac:dyDescent="0.2">
      <c r="A14" s="488" t="s">
        <v>71</v>
      </c>
      <c r="B14" s="493" t="s">
        <v>72</v>
      </c>
      <c r="C14" s="493" t="s">
        <v>73</v>
      </c>
      <c r="D14" s="493" t="s">
        <v>74</v>
      </c>
      <c r="E14" s="493" t="s">
        <v>75</v>
      </c>
      <c r="F14" s="493" t="s">
        <v>76</v>
      </c>
      <c r="G14" s="493" t="s">
        <v>77</v>
      </c>
      <c r="H14" s="493" t="s">
        <v>78</v>
      </c>
      <c r="I14" s="493" t="s">
        <v>79</v>
      </c>
      <c r="J14" s="493" t="s">
        <v>80</v>
      </c>
      <c r="K14" s="493" t="s">
        <v>81</v>
      </c>
      <c r="L14" s="493" t="s">
        <v>82</v>
      </c>
      <c r="M14" s="493" t="s">
        <v>83</v>
      </c>
      <c r="N14" s="493" t="s">
        <v>84</v>
      </c>
      <c r="O14" s="493" t="s">
        <v>85</v>
      </c>
      <c r="P14" s="493" t="s">
        <v>86</v>
      </c>
      <c r="Q14" s="493" t="s">
        <v>87</v>
      </c>
      <c r="R14" s="493" t="s">
        <v>88</v>
      </c>
      <c r="S14" s="493" t="s">
        <v>89</v>
      </c>
      <c r="T14" s="493" t="s">
        <v>90</v>
      </c>
      <c r="U14" s="493" t="s">
        <v>91</v>
      </c>
      <c r="V14" s="493" t="s">
        <v>92</v>
      </c>
      <c r="W14" s="493" t="s">
        <v>93</v>
      </c>
      <c r="X14" s="494" t="s">
        <v>94</v>
      </c>
      <c r="Y14" s="493" t="s">
        <v>95</v>
      </c>
      <c r="Z14" s="493" t="s">
        <v>96</v>
      </c>
      <c r="AA14" s="493" t="s">
        <v>97</v>
      </c>
      <c r="AB14" s="495" t="s">
        <v>98</v>
      </c>
      <c r="AC14" s="87" t="s">
        <v>99</v>
      </c>
      <c r="AD14" s="494" t="s">
        <v>100</v>
      </c>
      <c r="AE14" s="494" t="s">
        <v>101</v>
      </c>
      <c r="AF14" s="494" t="s">
        <v>102</v>
      </c>
      <c r="AG14" s="494" t="s">
        <v>103</v>
      </c>
      <c r="AH14" s="494" t="s">
        <v>104</v>
      </c>
      <c r="AI14" s="494" t="s">
        <v>105</v>
      </c>
      <c r="AJ14" s="494" t="s">
        <v>106</v>
      </c>
      <c r="AK14" s="494" t="s">
        <v>107</v>
      </c>
      <c r="AL14" s="494" t="s">
        <v>108</v>
      </c>
      <c r="AM14" s="494" t="s">
        <v>109</v>
      </c>
      <c r="AN14" s="494" t="s">
        <v>110</v>
      </c>
      <c r="AO14" s="494" t="s">
        <v>111</v>
      </c>
      <c r="AP14" s="496" t="s">
        <v>112</v>
      </c>
      <c r="AQ14" s="497" t="s">
        <v>113</v>
      </c>
    </row>
    <row r="15" spans="1:43" s="14" customFormat="1" x14ac:dyDescent="0.2">
      <c r="A15" s="488" t="s">
        <v>114</v>
      </c>
      <c r="B15" s="494">
        <v>1</v>
      </c>
      <c r="C15" s="494">
        <v>2</v>
      </c>
      <c r="D15" s="494">
        <v>3</v>
      </c>
      <c r="E15" s="494">
        <v>4</v>
      </c>
      <c r="F15" s="494">
        <v>5</v>
      </c>
      <c r="G15" s="494">
        <v>6</v>
      </c>
      <c r="H15" s="494">
        <v>7</v>
      </c>
      <c r="I15" s="494">
        <v>8</v>
      </c>
      <c r="J15" s="494">
        <v>9</v>
      </c>
      <c r="K15" s="494">
        <v>10</v>
      </c>
      <c r="L15" s="494">
        <v>11</v>
      </c>
      <c r="M15" s="494">
        <v>12</v>
      </c>
      <c r="N15" s="494">
        <v>13</v>
      </c>
      <c r="O15" s="494">
        <v>14</v>
      </c>
      <c r="P15" s="494">
        <v>15</v>
      </c>
      <c r="Q15" s="494">
        <v>16</v>
      </c>
      <c r="R15" s="494">
        <v>17</v>
      </c>
      <c r="S15" s="494">
        <v>18</v>
      </c>
      <c r="T15" s="494">
        <v>19</v>
      </c>
      <c r="U15" s="494">
        <v>20</v>
      </c>
      <c r="V15" s="494">
        <v>21</v>
      </c>
      <c r="W15" s="494">
        <v>22</v>
      </c>
      <c r="X15" s="494">
        <v>23</v>
      </c>
      <c r="Y15" s="494">
        <v>24</v>
      </c>
      <c r="Z15" s="494">
        <v>25</v>
      </c>
      <c r="AA15" s="494">
        <v>26</v>
      </c>
      <c r="AB15" s="498">
        <v>27</v>
      </c>
      <c r="AC15" s="87">
        <v>28</v>
      </c>
      <c r="AD15" s="494">
        <v>29</v>
      </c>
      <c r="AE15" s="494">
        <v>30</v>
      </c>
      <c r="AF15" s="494">
        <v>31</v>
      </c>
      <c r="AG15" s="494">
        <v>32</v>
      </c>
      <c r="AH15" s="494">
        <v>33</v>
      </c>
      <c r="AI15" s="494">
        <v>34</v>
      </c>
      <c r="AJ15" s="494">
        <v>35</v>
      </c>
      <c r="AK15" s="494">
        <v>36</v>
      </c>
      <c r="AL15" s="494">
        <v>37</v>
      </c>
      <c r="AM15" s="494">
        <v>38</v>
      </c>
      <c r="AN15" s="494">
        <v>39</v>
      </c>
      <c r="AO15" s="494">
        <v>40</v>
      </c>
      <c r="AP15" s="496">
        <v>41</v>
      </c>
      <c r="AQ15" s="497">
        <v>28</v>
      </c>
    </row>
    <row r="16" spans="1:43" x14ac:dyDescent="0.2">
      <c r="A16" s="488" t="s">
        <v>115</v>
      </c>
      <c r="B16" s="715" t="s">
        <v>116</v>
      </c>
      <c r="C16" s="716"/>
      <c r="D16" s="716"/>
      <c r="E16" s="716"/>
      <c r="F16" s="716"/>
      <c r="G16" s="724"/>
      <c r="H16" s="725"/>
      <c r="I16" s="726"/>
      <c r="J16" s="727"/>
      <c r="K16" s="725"/>
      <c r="L16" s="726"/>
      <c r="M16" s="727"/>
      <c r="N16" s="715" t="s">
        <v>117</v>
      </c>
      <c r="O16" s="716"/>
      <c r="P16" s="716"/>
      <c r="Q16" s="724"/>
      <c r="R16" s="715" t="s">
        <v>61</v>
      </c>
      <c r="S16" s="716"/>
      <c r="T16" s="716"/>
      <c r="U16" s="716"/>
      <c r="V16" s="716"/>
      <c r="W16" s="724"/>
      <c r="X16" s="715" t="s">
        <v>117</v>
      </c>
      <c r="Y16" s="716"/>
      <c r="Z16" s="716"/>
      <c r="AA16" s="716"/>
      <c r="AB16" s="734"/>
      <c r="AC16" s="88"/>
      <c r="AD16" s="725"/>
      <c r="AE16" s="726"/>
      <c r="AF16" s="727"/>
      <c r="AG16" s="725"/>
      <c r="AH16" s="726"/>
      <c r="AI16" s="727"/>
      <c r="AJ16" s="715" t="s">
        <v>117</v>
      </c>
      <c r="AK16" s="716"/>
      <c r="AL16" s="724"/>
      <c r="AM16" s="715" t="s">
        <v>117</v>
      </c>
      <c r="AN16" s="716"/>
      <c r="AO16" s="716"/>
      <c r="AP16" s="734"/>
      <c r="AQ16" s="497" t="s">
        <v>118</v>
      </c>
    </row>
    <row r="17" spans="1:43" ht="12.75" x14ac:dyDescent="0.2">
      <c r="A17" s="51" t="s">
        <v>119</v>
      </c>
      <c r="B17" s="499"/>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89"/>
      <c r="AD17" s="39"/>
      <c r="AE17" s="39"/>
      <c r="AF17" s="39"/>
      <c r="AG17" s="39"/>
      <c r="AH17" s="39"/>
      <c r="AI17" s="39"/>
      <c r="AJ17" s="39"/>
      <c r="AK17" s="39"/>
      <c r="AL17" s="39"/>
      <c r="AM17" s="39"/>
      <c r="AN17" s="39"/>
      <c r="AO17" s="39"/>
      <c r="AP17" s="90"/>
      <c r="AQ17" s="40"/>
    </row>
    <row r="18" spans="1:43" x14ac:dyDescent="0.2">
      <c r="A18" s="501" t="s">
        <v>120</v>
      </c>
      <c r="B18" s="502">
        <f>MIN(B77,80)</f>
        <v>5</v>
      </c>
      <c r="C18" s="502">
        <f t="shared" ref="C18:AB18" si="0">MIN(C77,80)</f>
        <v>5</v>
      </c>
      <c r="D18" s="502">
        <f t="shared" si="0"/>
        <v>5</v>
      </c>
      <c r="E18" s="502">
        <f t="shared" si="0"/>
        <v>5</v>
      </c>
      <c r="F18" s="502">
        <f t="shared" si="0"/>
        <v>5</v>
      </c>
      <c r="G18" s="502">
        <f t="shared" si="0"/>
        <v>5</v>
      </c>
      <c r="H18" s="502">
        <f t="shared" si="0"/>
        <v>5</v>
      </c>
      <c r="I18" s="502">
        <f t="shared" si="0"/>
        <v>20</v>
      </c>
      <c r="J18" s="502">
        <f t="shared" si="0"/>
        <v>42</v>
      </c>
      <c r="K18" s="502">
        <f t="shared" si="0"/>
        <v>60</v>
      </c>
      <c r="L18" s="502">
        <f t="shared" si="0"/>
        <v>70</v>
      </c>
      <c r="M18" s="502">
        <f t="shared" si="0"/>
        <v>70</v>
      </c>
      <c r="N18" s="502">
        <f t="shared" si="0"/>
        <v>80</v>
      </c>
      <c r="O18" s="502">
        <f t="shared" si="0"/>
        <v>80</v>
      </c>
      <c r="P18" s="502">
        <f t="shared" si="0"/>
        <v>80</v>
      </c>
      <c r="Q18" s="502">
        <f t="shared" si="0"/>
        <v>80</v>
      </c>
      <c r="R18" s="502">
        <f t="shared" si="0"/>
        <v>80</v>
      </c>
      <c r="S18" s="502">
        <f t="shared" si="0"/>
        <v>80</v>
      </c>
      <c r="T18" s="502">
        <f t="shared" si="0"/>
        <v>80</v>
      </c>
      <c r="U18" s="502">
        <f t="shared" si="0"/>
        <v>80</v>
      </c>
      <c r="V18" s="502">
        <f t="shared" si="0"/>
        <v>80</v>
      </c>
      <c r="W18" s="502">
        <f t="shared" si="0"/>
        <v>80</v>
      </c>
      <c r="X18" s="502">
        <f t="shared" si="0"/>
        <v>80</v>
      </c>
      <c r="Y18" s="502">
        <f t="shared" si="0"/>
        <v>80</v>
      </c>
      <c r="Z18" s="502">
        <f t="shared" si="0"/>
        <v>80</v>
      </c>
      <c r="AA18" s="502">
        <f t="shared" si="0"/>
        <v>80</v>
      </c>
      <c r="AB18" s="503">
        <f t="shared" si="0"/>
        <v>80</v>
      </c>
      <c r="AC18" s="91">
        <f>G18</f>
        <v>5</v>
      </c>
      <c r="AD18" s="504">
        <f t="shared" ref="AD18:AL18" si="1">H18</f>
        <v>5</v>
      </c>
      <c r="AE18" s="504">
        <f t="shared" si="1"/>
        <v>20</v>
      </c>
      <c r="AF18" s="504">
        <f t="shared" si="1"/>
        <v>42</v>
      </c>
      <c r="AG18" s="504">
        <f t="shared" si="1"/>
        <v>60</v>
      </c>
      <c r="AH18" s="504">
        <f t="shared" si="1"/>
        <v>70</v>
      </c>
      <c r="AI18" s="504">
        <f t="shared" si="1"/>
        <v>70</v>
      </c>
      <c r="AJ18" s="504">
        <f t="shared" si="1"/>
        <v>80</v>
      </c>
      <c r="AK18" s="504">
        <f t="shared" si="1"/>
        <v>80</v>
      </c>
      <c r="AL18" s="504">
        <f t="shared" si="1"/>
        <v>80</v>
      </c>
      <c r="AM18" s="504">
        <f>Y18</f>
        <v>80</v>
      </c>
      <c r="AN18" s="504">
        <f t="shared" ref="AN18:AP18" si="2">Z18</f>
        <v>80</v>
      </c>
      <c r="AO18" s="504">
        <f t="shared" si="2"/>
        <v>80</v>
      </c>
      <c r="AP18" s="505">
        <f t="shared" si="2"/>
        <v>80</v>
      </c>
      <c r="AQ18" s="506">
        <f>MIN(AQ78,80)</f>
        <v>18.616566771031298</v>
      </c>
    </row>
    <row r="19" spans="1:43" x14ac:dyDescent="0.2">
      <c r="A19" s="507" t="s">
        <v>121</v>
      </c>
      <c r="B19" s="508">
        <v>0.5</v>
      </c>
      <c r="C19" s="508">
        <v>0.5</v>
      </c>
      <c r="D19" s="508">
        <v>0.5</v>
      </c>
      <c r="E19" s="508">
        <v>0.5</v>
      </c>
      <c r="F19" s="508">
        <v>0.5</v>
      </c>
      <c r="G19" s="508">
        <v>0.5</v>
      </c>
      <c r="H19" s="508">
        <v>0.55000000000000004</v>
      </c>
      <c r="I19" s="508">
        <v>0.6</v>
      </c>
      <c r="J19" s="508">
        <v>0.65</v>
      </c>
      <c r="K19" s="508">
        <v>0.7</v>
      </c>
      <c r="L19" s="508">
        <v>0.7</v>
      </c>
      <c r="M19" s="508">
        <v>0.7</v>
      </c>
      <c r="N19" s="508">
        <v>0.7</v>
      </c>
      <c r="O19" s="508">
        <v>0.7</v>
      </c>
      <c r="P19" s="508">
        <v>0.7</v>
      </c>
      <c r="Q19" s="508">
        <v>0.4</v>
      </c>
      <c r="R19" s="508">
        <v>0.8</v>
      </c>
      <c r="S19" s="508">
        <v>0.8</v>
      </c>
      <c r="T19" s="508">
        <v>0.8</v>
      </c>
      <c r="U19" s="508">
        <v>0.8</v>
      </c>
      <c r="V19" s="508">
        <v>0.8</v>
      </c>
      <c r="W19" s="508">
        <v>0.7</v>
      </c>
      <c r="X19" s="508">
        <v>0.4</v>
      </c>
      <c r="Y19" s="508">
        <v>0.6</v>
      </c>
      <c r="Z19" s="508">
        <v>0.6</v>
      </c>
      <c r="AA19" s="508">
        <v>0.6</v>
      </c>
      <c r="AB19" s="509">
        <v>0.6</v>
      </c>
      <c r="AC19" s="92">
        <v>0.5</v>
      </c>
      <c r="AD19" s="508">
        <v>0.55000000000000004</v>
      </c>
      <c r="AE19" s="508">
        <v>0.6</v>
      </c>
      <c r="AF19" s="508">
        <v>0.65</v>
      </c>
      <c r="AG19" s="508">
        <v>0.7</v>
      </c>
      <c r="AH19" s="508">
        <v>0.7</v>
      </c>
      <c r="AI19" s="508">
        <v>0.7</v>
      </c>
      <c r="AJ19" s="508">
        <v>0.7</v>
      </c>
      <c r="AK19" s="508">
        <v>0.7</v>
      </c>
      <c r="AL19" s="508">
        <v>0.7</v>
      </c>
      <c r="AM19" s="508">
        <v>0.6</v>
      </c>
      <c r="AN19" s="508">
        <v>0.6</v>
      </c>
      <c r="AO19" s="508">
        <v>0.6</v>
      </c>
      <c r="AP19" s="510">
        <v>0.6</v>
      </c>
      <c r="AQ19" s="511">
        <v>0.4</v>
      </c>
    </row>
    <row r="20" spans="1:43" x14ac:dyDescent="0.2">
      <c r="A20" s="259" t="s">
        <v>122</v>
      </c>
      <c r="B20" s="499"/>
      <c r="C20" s="681"/>
      <c r="D20" s="681"/>
      <c r="E20" s="681"/>
      <c r="F20" s="681"/>
      <c r="G20" s="681"/>
      <c r="H20" s="681"/>
      <c r="I20" s="681"/>
      <c r="J20" s="681"/>
      <c r="K20" s="681"/>
      <c r="L20" s="681"/>
      <c r="M20" s="681"/>
      <c r="N20" s="681"/>
      <c r="O20" s="681"/>
      <c r="P20" s="681"/>
      <c r="Q20" s="681"/>
      <c r="R20" s="681"/>
      <c r="S20" s="681"/>
      <c r="T20" s="500"/>
      <c r="U20" s="681"/>
      <c r="V20" s="681"/>
      <c r="W20" s="681"/>
      <c r="X20" s="681"/>
      <c r="Y20" s="681"/>
      <c r="Z20" s="681"/>
      <c r="AA20" s="681"/>
      <c r="AB20" s="681"/>
      <c r="AC20" s="89"/>
      <c r="AD20" s="39"/>
      <c r="AE20" s="39"/>
      <c r="AF20" s="39"/>
      <c r="AG20" s="39"/>
      <c r="AH20" s="39"/>
      <c r="AI20" s="39"/>
      <c r="AJ20" s="39"/>
      <c r="AK20" s="39"/>
      <c r="AL20" s="39"/>
      <c r="AM20" s="39"/>
      <c r="AN20" s="39"/>
      <c r="AO20" s="39"/>
      <c r="AP20" s="90"/>
      <c r="AQ20" s="40"/>
    </row>
    <row r="21" spans="1:43" s="16" customFormat="1" x14ac:dyDescent="0.2">
      <c r="A21" s="515" t="s">
        <v>123</v>
      </c>
      <c r="B21" s="516">
        <f t="shared" ref="B21:AP21" si="3">B19*$B$8</f>
        <v>20.549999999999997</v>
      </c>
      <c r="C21" s="516">
        <f t="shared" si="3"/>
        <v>20.549999999999997</v>
      </c>
      <c r="D21" s="516">
        <f t="shared" si="3"/>
        <v>20.549999999999997</v>
      </c>
      <c r="E21" s="516">
        <f t="shared" si="3"/>
        <v>20.549999999999997</v>
      </c>
      <c r="F21" s="516">
        <f t="shared" si="3"/>
        <v>20.549999999999997</v>
      </c>
      <c r="G21" s="516">
        <f t="shared" si="3"/>
        <v>20.549999999999997</v>
      </c>
      <c r="H21" s="516">
        <f t="shared" si="3"/>
        <v>22.605</v>
      </c>
      <c r="I21" s="516">
        <f t="shared" si="3"/>
        <v>24.659999999999997</v>
      </c>
      <c r="J21" s="516">
        <f t="shared" si="3"/>
        <v>26.714999999999996</v>
      </c>
      <c r="K21" s="516">
        <f t="shared" si="3"/>
        <v>28.769999999999992</v>
      </c>
      <c r="L21" s="516">
        <f t="shared" si="3"/>
        <v>28.769999999999992</v>
      </c>
      <c r="M21" s="516">
        <f t="shared" si="3"/>
        <v>28.769999999999992</v>
      </c>
      <c r="N21" s="516">
        <f t="shared" si="3"/>
        <v>28.769999999999992</v>
      </c>
      <c r="O21" s="516">
        <f t="shared" si="3"/>
        <v>28.769999999999992</v>
      </c>
      <c r="P21" s="516">
        <f t="shared" si="3"/>
        <v>28.769999999999992</v>
      </c>
      <c r="Q21" s="516">
        <f t="shared" si="3"/>
        <v>16.439999999999998</v>
      </c>
      <c r="R21" s="516">
        <f t="shared" si="3"/>
        <v>32.879999999999995</v>
      </c>
      <c r="S21" s="516">
        <f t="shared" si="3"/>
        <v>32.879999999999995</v>
      </c>
      <c r="T21" s="516">
        <f t="shared" si="3"/>
        <v>32.879999999999995</v>
      </c>
      <c r="U21" s="516">
        <f t="shared" si="3"/>
        <v>32.879999999999995</v>
      </c>
      <c r="V21" s="516">
        <f t="shared" si="3"/>
        <v>32.879999999999995</v>
      </c>
      <c r="W21" s="516">
        <f t="shared" si="3"/>
        <v>28.769999999999992</v>
      </c>
      <c r="X21" s="516">
        <f t="shared" si="3"/>
        <v>16.439999999999998</v>
      </c>
      <c r="Y21" s="516">
        <f t="shared" si="3"/>
        <v>24.659999999999997</v>
      </c>
      <c r="Z21" s="516">
        <f t="shared" si="3"/>
        <v>24.659999999999997</v>
      </c>
      <c r="AA21" s="516">
        <f t="shared" si="3"/>
        <v>24.659999999999997</v>
      </c>
      <c r="AB21" s="517">
        <f t="shared" si="3"/>
        <v>24.659999999999997</v>
      </c>
      <c r="AC21" s="105">
        <f t="shared" si="3"/>
        <v>20.549999999999997</v>
      </c>
      <c r="AD21" s="517">
        <f t="shared" si="3"/>
        <v>22.605</v>
      </c>
      <c r="AE21" s="517">
        <f t="shared" si="3"/>
        <v>24.659999999999997</v>
      </c>
      <c r="AF21" s="517">
        <f t="shared" si="3"/>
        <v>26.714999999999996</v>
      </c>
      <c r="AG21" s="517">
        <f t="shared" si="3"/>
        <v>28.769999999999992</v>
      </c>
      <c r="AH21" s="517">
        <f t="shared" si="3"/>
        <v>28.769999999999992</v>
      </c>
      <c r="AI21" s="517">
        <f t="shared" si="3"/>
        <v>28.769999999999992</v>
      </c>
      <c r="AJ21" s="517">
        <f t="shared" si="3"/>
        <v>28.769999999999992</v>
      </c>
      <c r="AK21" s="517">
        <f t="shared" si="3"/>
        <v>28.769999999999992</v>
      </c>
      <c r="AL21" s="517">
        <f t="shared" si="3"/>
        <v>28.769999999999992</v>
      </c>
      <c r="AM21" s="517">
        <f t="shared" si="3"/>
        <v>24.659999999999997</v>
      </c>
      <c r="AN21" s="517">
        <f t="shared" si="3"/>
        <v>24.659999999999997</v>
      </c>
      <c r="AO21" s="517">
        <f t="shared" si="3"/>
        <v>24.659999999999997</v>
      </c>
      <c r="AP21" s="518">
        <f t="shared" si="3"/>
        <v>24.659999999999997</v>
      </c>
      <c r="AQ21" s="519">
        <f>AQ19*$B$8</f>
        <v>16.439999999999998</v>
      </c>
    </row>
    <row r="22" spans="1:43" s="17" customFormat="1" x14ac:dyDescent="0.2">
      <c r="A22" s="515" t="s">
        <v>124</v>
      </c>
      <c r="B22" s="520">
        <f t="shared" ref="B22:AQ22" si="4">B21*$B$5</f>
        <v>41.099999999999994</v>
      </c>
      <c r="C22" s="520">
        <f t="shared" si="4"/>
        <v>41.099999999999994</v>
      </c>
      <c r="D22" s="520">
        <f t="shared" si="4"/>
        <v>41.099999999999994</v>
      </c>
      <c r="E22" s="520">
        <f t="shared" si="4"/>
        <v>41.099999999999994</v>
      </c>
      <c r="F22" s="520">
        <f t="shared" si="4"/>
        <v>41.099999999999994</v>
      </c>
      <c r="G22" s="520">
        <f t="shared" si="4"/>
        <v>41.099999999999994</v>
      </c>
      <c r="H22" s="520">
        <f t="shared" si="4"/>
        <v>45.21</v>
      </c>
      <c r="I22" s="520">
        <f t="shared" si="4"/>
        <v>49.319999999999993</v>
      </c>
      <c r="J22" s="520">
        <f t="shared" si="4"/>
        <v>53.429999999999993</v>
      </c>
      <c r="K22" s="520">
        <f t="shared" si="4"/>
        <v>57.539999999999985</v>
      </c>
      <c r="L22" s="520">
        <f t="shared" si="4"/>
        <v>57.539999999999985</v>
      </c>
      <c r="M22" s="520">
        <f t="shared" si="4"/>
        <v>57.539999999999985</v>
      </c>
      <c r="N22" s="520">
        <f t="shared" si="4"/>
        <v>57.539999999999985</v>
      </c>
      <c r="O22" s="520">
        <f t="shared" si="4"/>
        <v>57.539999999999985</v>
      </c>
      <c r="P22" s="520">
        <f t="shared" si="4"/>
        <v>57.539999999999985</v>
      </c>
      <c r="Q22" s="520">
        <f t="shared" si="4"/>
        <v>32.879999999999995</v>
      </c>
      <c r="R22" s="520">
        <f t="shared" si="4"/>
        <v>65.759999999999991</v>
      </c>
      <c r="S22" s="520">
        <f t="shared" si="4"/>
        <v>65.759999999999991</v>
      </c>
      <c r="T22" s="520">
        <f t="shared" si="4"/>
        <v>65.759999999999991</v>
      </c>
      <c r="U22" s="520">
        <f t="shared" si="4"/>
        <v>65.759999999999991</v>
      </c>
      <c r="V22" s="520">
        <f t="shared" si="4"/>
        <v>65.759999999999991</v>
      </c>
      <c r="W22" s="520">
        <f t="shared" si="4"/>
        <v>57.539999999999985</v>
      </c>
      <c r="X22" s="520">
        <f t="shared" si="4"/>
        <v>32.879999999999995</v>
      </c>
      <c r="Y22" s="520">
        <f t="shared" si="4"/>
        <v>49.319999999999993</v>
      </c>
      <c r="Z22" s="520">
        <f t="shared" si="4"/>
        <v>49.319999999999993</v>
      </c>
      <c r="AA22" s="520">
        <f t="shared" si="4"/>
        <v>49.319999999999993</v>
      </c>
      <c r="AB22" s="521">
        <f t="shared" si="4"/>
        <v>49.319999999999993</v>
      </c>
      <c r="AC22" s="106">
        <f t="shared" si="4"/>
        <v>41.099999999999994</v>
      </c>
      <c r="AD22" s="521">
        <f t="shared" si="4"/>
        <v>45.21</v>
      </c>
      <c r="AE22" s="521">
        <f t="shared" si="4"/>
        <v>49.319999999999993</v>
      </c>
      <c r="AF22" s="521">
        <f t="shared" si="4"/>
        <v>53.429999999999993</v>
      </c>
      <c r="AG22" s="521">
        <f t="shared" si="4"/>
        <v>57.539999999999985</v>
      </c>
      <c r="AH22" s="521">
        <f t="shared" si="4"/>
        <v>57.539999999999985</v>
      </c>
      <c r="AI22" s="521">
        <f t="shared" si="4"/>
        <v>57.539999999999985</v>
      </c>
      <c r="AJ22" s="521">
        <f t="shared" si="4"/>
        <v>57.539999999999985</v>
      </c>
      <c r="AK22" s="521">
        <f t="shared" si="4"/>
        <v>57.539999999999985</v>
      </c>
      <c r="AL22" s="521">
        <f t="shared" si="4"/>
        <v>57.539999999999985</v>
      </c>
      <c r="AM22" s="521">
        <f t="shared" si="4"/>
        <v>49.319999999999993</v>
      </c>
      <c r="AN22" s="521">
        <f t="shared" si="4"/>
        <v>49.319999999999993</v>
      </c>
      <c r="AO22" s="521">
        <f t="shared" si="4"/>
        <v>49.319999999999993</v>
      </c>
      <c r="AP22" s="522">
        <f t="shared" si="4"/>
        <v>49.319999999999993</v>
      </c>
      <c r="AQ22" s="523">
        <f t="shared" si="4"/>
        <v>32.879999999999995</v>
      </c>
    </row>
    <row r="23" spans="1:43" s="17" customFormat="1" x14ac:dyDescent="0.2">
      <c r="A23" s="515" t="s">
        <v>125</v>
      </c>
      <c r="B23" s="524">
        <f>$B$9</f>
        <v>3</v>
      </c>
      <c r="C23" s="524">
        <f t="shared" ref="C23:AQ23" si="5">$B$9</f>
        <v>3</v>
      </c>
      <c r="D23" s="524">
        <f t="shared" si="5"/>
        <v>3</v>
      </c>
      <c r="E23" s="524">
        <f t="shared" si="5"/>
        <v>3</v>
      </c>
      <c r="F23" s="524">
        <f t="shared" si="5"/>
        <v>3</v>
      </c>
      <c r="G23" s="524">
        <f t="shared" si="5"/>
        <v>3</v>
      </c>
      <c r="H23" s="524">
        <f t="shared" si="5"/>
        <v>3</v>
      </c>
      <c r="I23" s="524">
        <f t="shared" si="5"/>
        <v>3</v>
      </c>
      <c r="J23" s="524">
        <f t="shared" si="5"/>
        <v>3</v>
      </c>
      <c r="K23" s="524">
        <f t="shared" si="5"/>
        <v>3</v>
      </c>
      <c r="L23" s="524">
        <f t="shared" si="5"/>
        <v>3</v>
      </c>
      <c r="M23" s="524">
        <f t="shared" si="5"/>
        <v>3</v>
      </c>
      <c r="N23" s="524">
        <f t="shared" si="5"/>
        <v>3</v>
      </c>
      <c r="O23" s="524">
        <f t="shared" si="5"/>
        <v>3</v>
      </c>
      <c r="P23" s="524">
        <f t="shared" si="5"/>
        <v>3</v>
      </c>
      <c r="Q23" s="524">
        <f t="shared" si="5"/>
        <v>3</v>
      </c>
      <c r="R23" s="524">
        <f t="shared" si="5"/>
        <v>3</v>
      </c>
      <c r="S23" s="524">
        <f t="shared" si="5"/>
        <v>3</v>
      </c>
      <c r="T23" s="524">
        <f t="shared" si="5"/>
        <v>3</v>
      </c>
      <c r="U23" s="524">
        <f t="shared" si="5"/>
        <v>3</v>
      </c>
      <c r="V23" s="524">
        <f t="shared" si="5"/>
        <v>3</v>
      </c>
      <c r="W23" s="524">
        <f t="shared" si="5"/>
        <v>3</v>
      </c>
      <c r="X23" s="524">
        <f t="shared" si="5"/>
        <v>3</v>
      </c>
      <c r="Y23" s="524">
        <f t="shared" si="5"/>
        <v>3</v>
      </c>
      <c r="Z23" s="524">
        <f t="shared" si="5"/>
        <v>3</v>
      </c>
      <c r="AA23" s="524">
        <f t="shared" si="5"/>
        <v>3</v>
      </c>
      <c r="AB23" s="525">
        <f t="shared" si="5"/>
        <v>3</v>
      </c>
      <c r="AC23" s="107">
        <f t="shared" si="5"/>
        <v>3</v>
      </c>
      <c r="AD23" s="525">
        <f t="shared" si="5"/>
        <v>3</v>
      </c>
      <c r="AE23" s="525">
        <f t="shared" si="5"/>
        <v>3</v>
      </c>
      <c r="AF23" s="525">
        <f t="shared" si="5"/>
        <v>3</v>
      </c>
      <c r="AG23" s="525">
        <f t="shared" si="5"/>
        <v>3</v>
      </c>
      <c r="AH23" s="525">
        <f t="shared" si="5"/>
        <v>3</v>
      </c>
      <c r="AI23" s="525">
        <f t="shared" si="5"/>
        <v>3</v>
      </c>
      <c r="AJ23" s="525">
        <f t="shared" si="5"/>
        <v>3</v>
      </c>
      <c r="AK23" s="525">
        <f t="shared" si="5"/>
        <v>3</v>
      </c>
      <c r="AL23" s="525">
        <f t="shared" si="5"/>
        <v>3</v>
      </c>
      <c r="AM23" s="525">
        <f t="shared" si="5"/>
        <v>3</v>
      </c>
      <c r="AN23" s="525">
        <f t="shared" si="5"/>
        <v>3</v>
      </c>
      <c r="AO23" s="525">
        <f t="shared" si="5"/>
        <v>3</v>
      </c>
      <c r="AP23" s="526">
        <f t="shared" si="5"/>
        <v>3</v>
      </c>
      <c r="AQ23" s="527">
        <f t="shared" si="5"/>
        <v>3</v>
      </c>
    </row>
    <row r="24" spans="1:43" s="17" customFormat="1" x14ac:dyDescent="0.2">
      <c r="A24" s="515" t="s">
        <v>126</v>
      </c>
      <c r="B24" s="524">
        <f t="shared" ref="B24:AQ24" si="6">IF(ISBLANK(B102),0,$B$10)</f>
        <v>0</v>
      </c>
      <c r="C24" s="524">
        <f t="shared" si="6"/>
        <v>0</v>
      </c>
      <c r="D24" s="524">
        <f t="shared" si="6"/>
        <v>0</v>
      </c>
      <c r="E24" s="524">
        <f t="shared" si="6"/>
        <v>0</v>
      </c>
      <c r="F24" s="524">
        <f t="shared" si="6"/>
        <v>0</v>
      </c>
      <c r="G24" s="524">
        <f t="shared" si="6"/>
        <v>0</v>
      </c>
      <c r="H24" s="524">
        <f t="shared" si="6"/>
        <v>0</v>
      </c>
      <c r="I24" s="524">
        <f t="shared" si="6"/>
        <v>0</v>
      </c>
      <c r="J24" s="524">
        <f t="shared" si="6"/>
        <v>0</v>
      </c>
      <c r="K24" s="524">
        <f t="shared" si="6"/>
        <v>0</v>
      </c>
      <c r="L24" s="524">
        <f t="shared" si="6"/>
        <v>0</v>
      </c>
      <c r="M24" s="524">
        <f t="shared" si="6"/>
        <v>0</v>
      </c>
      <c r="N24" s="524">
        <f t="shared" si="6"/>
        <v>0</v>
      </c>
      <c r="O24" s="524">
        <f t="shared" si="6"/>
        <v>0</v>
      </c>
      <c r="P24" s="524">
        <f t="shared" si="6"/>
        <v>0</v>
      </c>
      <c r="Q24" s="524">
        <f t="shared" si="6"/>
        <v>0</v>
      </c>
      <c r="R24" s="524">
        <f t="shared" si="6"/>
        <v>44.28</v>
      </c>
      <c r="S24" s="524">
        <f t="shared" si="6"/>
        <v>44.28</v>
      </c>
      <c r="T24" s="524">
        <f t="shared" si="6"/>
        <v>44.28</v>
      </c>
      <c r="U24" s="524">
        <f t="shared" si="6"/>
        <v>44.28</v>
      </c>
      <c r="V24" s="524">
        <f t="shared" si="6"/>
        <v>44.28</v>
      </c>
      <c r="W24" s="524">
        <f t="shared" si="6"/>
        <v>44.28</v>
      </c>
      <c r="X24" s="524">
        <f t="shared" si="6"/>
        <v>0</v>
      </c>
      <c r="Y24" s="524">
        <f t="shared" si="6"/>
        <v>0</v>
      </c>
      <c r="Z24" s="524">
        <f t="shared" si="6"/>
        <v>0</v>
      </c>
      <c r="AA24" s="524">
        <f t="shared" si="6"/>
        <v>0</v>
      </c>
      <c r="AB24" s="525">
        <f t="shared" si="6"/>
        <v>0</v>
      </c>
      <c r="AC24" s="107">
        <f t="shared" si="6"/>
        <v>44.28</v>
      </c>
      <c r="AD24" s="525">
        <f t="shared" si="6"/>
        <v>44.28</v>
      </c>
      <c r="AE24" s="525">
        <f t="shared" si="6"/>
        <v>44.28</v>
      </c>
      <c r="AF24" s="525">
        <f t="shared" si="6"/>
        <v>44.28</v>
      </c>
      <c r="AG24" s="525">
        <f t="shared" si="6"/>
        <v>44.28</v>
      </c>
      <c r="AH24" s="525">
        <f t="shared" si="6"/>
        <v>44.28</v>
      </c>
      <c r="AI24" s="525">
        <f t="shared" si="6"/>
        <v>44.28</v>
      </c>
      <c r="AJ24" s="525">
        <f t="shared" si="6"/>
        <v>44.28</v>
      </c>
      <c r="AK24" s="525">
        <f t="shared" si="6"/>
        <v>44.28</v>
      </c>
      <c r="AL24" s="525">
        <f t="shared" si="6"/>
        <v>44.28</v>
      </c>
      <c r="AM24" s="525">
        <f t="shared" si="6"/>
        <v>44.28</v>
      </c>
      <c r="AN24" s="525">
        <f t="shared" si="6"/>
        <v>44.28</v>
      </c>
      <c r="AO24" s="525">
        <f t="shared" si="6"/>
        <v>44.28</v>
      </c>
      <c r="AP24" s="526">
        <f t="shared" si="6"/>
        <v>44.28</v>
      </c>
      <c r="AQ24" s="527">
        <f t="shared" si="6"/>
        <v>0</v>
      </c>
    </row>
    <row r="25" spans="1:43" s="17" customFormat="1" x14ac:dyDescent="0.2">
      <c r="A25" s="515" t="s">
        <v>127</v>
      </c>
      <c r="B25" s="520">
        <f>B21*$B$5+SUM(B23:B24)</f>
        <v>44.099999999999994</v>
      </c>
      <c r="C25" s="520">
        <f t="shared" ref="C25:AP25" si="7">C21*$B$5+SUM(C23:C24)</f>
        <v>44.099999999999994</v>
      </c>
      <c r="D25" s="520">
        <f t="shared" si="7"/>
        <v>44.099999999999994</v>
      </c>
      <c r="E25" s="520">
        <f t="shared" si="7"/>
        <v>44.099999999999994</v>
      </c>
      <c r="F25" s="520">
        <f t="shared" si="7"/>
        <v>44.099999999999994</v>
      </c>
      <c r="G25" s="520">
        <f t="shared" si="7"/>
        <v>44.099999999999994</v>
      </c>
      <c r="H25" s="520">
        <f t="shared" si="7"/>
        <v>48.21</v>
      </c>
      <c r="I25" s="520">
        <f t="shared" si="7"/>
        <v>52.319999999999993</v>
      </c>
      <c r="J25" s="520">
        <f t="shared" si="7"/>
        <v>56.429999999999993</v>
      </c>
      <c r="K25" s="520">
        <f t="shared" si="7"/>
        <v>60.539999999999985</v>
      </c>
      <c r="L25" s="520">
        <f t="shared" si="7"/>
        <v>60.539999999999985</v>
      </c>
      <c r="M25" s="520">
        <f t="shared" si="7"/>
        <v>60.539999999999985</v>
      </c>
      <c r="N25" s="520">
        <f t="shared" si="7"/>
        <v>60.539999999999985</v>
      </c>
      <c r="O25" s="520">
        <f t="shared" si="7"/>
        <v>60.539999999999985</v>
      </c>
      <c r="P25" s="520">
        <f t="shared" si="7"/>
        <v>60.539999999999985</v>
      </c>
      <c r="Q25" s="520">
        <f t="shared" si="7"/>
        <v>35.879999999999995</v>
      </c>
      <c r="R25" s="520">
        <f t="shared" si="7"/>
        <v>113.03999999999999</v>
      </c>
      <c r="S25" s="520">
        <f t="shared" si="7"/>
        <v>113.03999999999999</v>
      </c>
      <c r="T25" s="520">
        <f t="shared" si="7"/>
        <v>113.03999999999999</v>
      </c>
      <c r="U25" s="520">
        <f t="shared" si="7"/>
        <v>113.03999999999999</v>
      </c>
      <c r="V25" s="520">
        <f t="shared" si="7"/>
        <v>113.03999999999999</v>
      </c>
      <c r="W25" s="520">
        <f t="shared" si="7"/>
        <v>104.82</v>
      </c>
      <c r="X25" s="520">
        <f t="shared" si="7"/>
        <v>35.879999999999995</v>
      </c>
      <c r="Y25" s="520">
        <f t="shared" si="7"/>
        <v>52.319999999999993</v>
      </c>
      <c r="Z25" s="520">
        <f t="shared" si="7"/>
        <v>52.319999999999993</v>
      </c>
      <c r="AA25" s="520">
        <f t="shared" si="7"/>
        <v>52.319999999999993</v>
      </c>
      <c r="AB25" s="521">
        <f t="shared" si="7"/>
        <v>52.319999999999993</v>
      </c>
      <c r="AC25" s="106">
        <f t="shared" si="7"/>
        <v>88.38</v>
      </c>
      <c r="AD25" s="521">
        <f t="shared" si="7"/>
        <v>92.490000000000009</v>
      </c>
      <c r="AE25" s="521">
        <f t="shared" si="7"/>
        <v>96.6</v>
      </c>
      <c r="AF25" s="521">
        <f t="shared" si="7"/>
        <v>100.71</v>
      </c>
      <c r="AG25" s="521">
        <f t="shared" si="7"/>
        <v>104.82</v>
      </c>
      <c r="AH25" s="521">
        <f t="shared" si="7"/>
        <v>104.82</v>
      </c>
      <c r="AI25" s="521">
        <f t="shared" si="7"/>
        <v>104.82</v>
      </c>
      <c r="AJ25" s="521">
        <f t="shared" si="7"/>
        <v>104.82</v>
      </c>
      <c r="AK25" s="521">
        <f t="shared" si="7"/>
        <v>104.82</v>
      </c>
      <c r="AL25" s="521">
        <f t="shared" si="7"/>
        <v>104.82</v>
      </c>
      <c r="AM25" s="521">
        <f t="shared" si="7"/>
        <v>96.6</v>
      </c>
      <c r="AN25" s="521">
        <f t="shared" si="7"/>
        <v>96.6</v>
      </c>
      <c r="AO25" s="521">
        <f t="shared" si="7"/>
        <v>96.6</v>
      </c>
      <c r="AP25" s="522">
        <f t="shared" si="7"/>
        <v>96.6</v>
      </c>
      <c r="AQ25" s="523">
        <f t="shared" ref="AQ25" si="8">AQ21*$B$5+SUM(AQ23:AQ24)</f>
        <v>35.879999999999995</v>
      </c>
    </row>
    <row r="26" spans="1:43" s="17" customFormat="1" x14ac:dyDescent="0.2">
      <c r="A26" s="18" t="s">
        <v>128</v>
      </c>
      <c r="B26" s="19">
        <f t="shared" ref="B26:AQ26" si="9">-IF(ISBLANK(B101),0,MIN(B$22*$H$10,B$22-$B$7*$H$9))</f>
        <v>-8.2199999999999989</v>
      </c>
      <c r="C26" s="19">
        <f t="shared" si="9"/>
        <v>-8.2199999999999989</v>
      </c>
      <c r="D26" s="19">
        <f t="shared" si="9"/>
        <v>-8.2199999999999989</v>
      </c>
      <c r="E26" s="19">
        <f t="shared" si="9"/>
        <v>0</v>
      </c>
      <c r="F26" s="19">
        <f t="shared" si="9"/>
        <v>-8.2199999999999989</v>
      </c>
      <c r="G26" s="19">
        <f t="shared" si="9"/>
        <v>-8.2199999999999989</v>
      </c>
      <c r="H26" s="19">
        <f t="shared" si="9"/>
        <v>-12.330000000000005</v>
      </c>
      <c r="I26" s="19">
        <f t="shared" si="9"/>
        <v>-14.154839999999997</v>
      </c>
      <c r="J26" s="19">
        <f t="shared" si="9"/>
        <v>0</v>
      </c>
      <c r="K26" s="19">
        <f t="shared" si="9"/>
        <v>0</v>
      </c>
      <c r="L26" s="19">
        <f t="shared" si="9"/>
        <v>0</v>
      </c>
      <c r="M26" s="19">
        <f t="shared" si="9"/>
        <v>0</v>
      </c>
      <c r="N26" s="19">
        <f t="shared" si="9"/>
        <v>-16.513979999999993</v>
      </c>
      <c r="O26" s="19">
        <f t="shared" si="9"/>
        <v>-16.513979999999993</v>
      </c>
      <c r="P26" s="19">
        <f t="shared" si="9"/>
        <v>0</v>
      </c>
      <c r="Q26" s="19">
        <f t="shared" si="9"/>
        <v>0</v>
      </c>
      <c r="R26" s="19">
        <f t="shared" si="9"/>
        <v>0</v>
      </c>
      <c r="S26" s="19">
        <f t="shared" si="9"/>
        <v>0</v>
      </c>
      <c r="T26" s="19">
        <f t="shared" si="9"/>
        <v>0</v>
      </c>
      <c r="U26" s="19">
        <f t="shared" si="9"/>
        <v>0</v>
      </c>
      <c r="V26" s="19">
        <f t="shared" si="9"/>
        <v>0</v>
      </c>
      <c r="W26" s="19">
        <f t="shared" si="9"/>
        <v>0</v>
      </c>
      <c r="X26" s="19">
        <f t="shared" si="9"/>
        <v>0</v>
      </c>
      <c r="Y26" s="19">
        <f t="shared" si="9"/>
        <v>-14.154839999999997</v>
      </c>
      <c r="Z26" s="19">
        <f t="shared" si="9"/>
        <v>-14.154839999999997</v>
      </c>
      <c r="AA26" s="19">
        <f t="shared" si="9"/>
        <v>-14.154839999999997</v>
      </c>
      <c r="AB26" s="84">
        <f t="shared" si="9"/>
        <v>-14.154839999999997</v>
      </c>
      <c r="AC26" s="108">
        <f t="shared" si="9"/>
        <v>0</v>
      </c>
      <c r="AD26" s="84">
        <f t="shared" si="9"/>
        <v>0</v>
      </c>
      <c r="AE26" s="84">
        <f t="shared" si="9"/>
        <v>0</v>
      </c>
      <c r="AF26" s="84">
        <f t="shared" si="9"/>
        <v>0</v>
      </c>
      <c r="AG26" s="84">
        <f t="shared" si="9"/>
        <v>0</v>
      </c>
      <c r="AH26" s="84">
        <f t="shared" si="9"/>
        <v>0</v>
      </c>
      <c r="AI26" s="84">
        <f t="shared" si="9"/>
        <v>0</v>
      </c>
      <c r="AJ26" s="84">
        <f t="shared" si="9"/>
        <v>0</v>
      </c>
      <c r="AK26" s="84">
        <f t="shared" si="9"/>
        <v>0</v>
      </c>
      <c r="AL26" s="84">
        <f t="shared" si="9"/>
        <v>0</v>
      </c>
      <c r="AM26" s="84">
        <f t="shared" si="9"/>
        <v>0</v>
      </c>
      <c r="AN26" s="84">
        <f t="shared" si="9"/>
        <v>0</v>
      </c>
      <c r="AO26" s="84">
        <f t="shared" si="9"/>
        <v>0</v>
      </c>
      <c r="AP26" s="109">
        <f t="shared" si="9"/>
        <v>0</v>
      </c>
      <c r="AQ26" s="117">
        <f t="shared" si="9"/>
        <v>0</v>
      </c>
    </row>
    <row r="27" spans="1:43" s="17" customFormat="1" x14ac:dyDescent="0.2">
      <c r="A27" s="515" t="s">
        <v>129</v>
      </c>
      <c r="B27" s="19">
        <f t="shared" ref="B27:AQ27" si="10">SUM(B25:B26)</f>
        <v>35.879999999999995</v>
      </c>
      <c r="C27" s="19">
        <f t="shared" si="10"/>
        <v>35.879999999999995</v>
      </c>
      <c r="D27" s="19">
        <f t="shared" si="10"/>
        <v>35.879999999999995</v>
      </c>
      <c r="E27" s="19">
        <f t="shared" si="10"/>
        <v>44.099999999999994</v>
      </c>
      <c r="F27" s="19">
        <f t="shared" si="10"/>
        <v>35.879999999999995</v>
      </c>
      <c r="G27" s="19">
        <f t="shared" si="10"/>
        <v>35.879999999999995</v>
      </c>
      <c r="H27" s="19">
        <f t="shared" si="10"/>
        <v>35.879999999999995</v>
      </c>
      <c r="I27" s="19">
        <f t="shared" si="10"/>
        <v>38.16516</v>
      </c>
      <c r="J27" s="19">
        <f t="shared" si="10"/>
        <v>56.429999999999993</v>
      </c>
      <c r="K27" s="19">
        <f t="shared" si="10"/>
        <v>60.539999999999985</v>
      </c>
      <c r="L27" s="19">
        <f t="shared" si="10"/>
        <v>60.539999999999985</v>
      </c>
      <c r="M27" s="19">
        <f t="shared" si="10"/>
        <v>60.539999999999985</v>
      </c>
      <c r="N27" s="19">
        <f t="shared" si="10"/>
        <v>44.026019999999988</v>
      </c>
      <c r="O27" s="19">
        <f t="shared" si="10"/>
        <v>44.026019999999988</v>
      </c>
      <c r="P27" s="19">
        <f t="shared" si="10"/>
        <v>60.539999999999985</v>
      </c>
      <c r="Q27" s="19">
        <f t="shared" si="10"/>
        <v>35.879999999999995</v>
      </c>
      <c r="R27" s="19">
        <f t="shared" si="10"/>
        <v>113.03999999999999</v>
      </c>
      <c r="S27" s="19">
        <f t="shared" si="10"/>
        <v>113.03999999999999</v>
      </c>
      <c r="T27" s="19">
        <f t="shared" si="10"/>
        <v>113.03999999999999</v>
      </c>
      <c r="U27" s="19">
        <f t="shared" si="10"/>
        <v>113.03999999999999</v>
      </c>
      <c r="V27" s="19">
        <f t="shared" si="10"/>
        <v>113.03999999999999</v>
      </c>
      <c r="W27" s="19">
        <f t="shared" si="10"/>
        <v>104.82</v>
      </c>
      <c r="X27" s="19">
        <f t="shared" si="10"/>
        <v>35.879999999999995</v>
      </c>
      <c r="Y27" s="19">
        <f t="shared" si="10"/>
        <v>38.16516</v>
      </c>
      <c r="Z27" s="19">
        <f t="shared" si="10"/>
        <v>38.16516</v>
      </c>
      <c r="AA27" s="19">
        <f t="shared" si="10"/>
        <v>38.16516</v>
      </c>
      <c r="AB27" s="84">
        <f t="shared" si="10"/>
        <v>38.16516</v>
      </c>
      <c r="AC27" s="108">
        <f t="shared" si="10"/>
        <v>88.38</v>
      </c>
      <c r="AD27" s="84">
        <f t="shared" si="10"/>
        <v>92.490000000000009</v>
      </c>
      <c r="AE27" s="84">
        <f t="shared" si="10"/>
        <v>96.6</v>
      </c>
      <c r="AF27" s="84">
        <f t="shared" si="10"/>
        <v>100.71</v>
      </c>
      <c r="AG27" s="84">
        <f t="shared" si="10"/>
        <v>104.82</v>
      </c>
      <c r="AH27" s="84">
        <f t="shared" si="10"/>
        <v>104.82</v>
      </c>
      <c r="AI27" s="84">
        <f t="shared" si="10"/>
        <v>104.82</v>
      </c>
      <c r="AJ27" s="84">
        <f t="shared" si="10"/>
        <v>104.82</v>
      </c>
      <c r="AK27" s="84">
        <f t="shared" si="10"/>
        <v>104.82</v>
      </c>
      <c r="AL27" s="84">
        <f t="shared" si="10"/>
        <v>104.82</v>
      </c>
      <c r="AM27" s="84">
        <f t="shared" si="10"/>
        <v>96.6</v>
      </c>
      <c r="AN27" s="84">
        <f t="shared" si="10"/>
        <v>96.6</v>
      </c>
      <c r="AO27" s="84">
        <f t="shared" si="10"/>
        <v>96.6</v>
      </c>
      <c r="AP27" s="109">
        <f t="shared" si="10"/>
        <v>96.6</v>
      </c>
      <c r="AQ27" s="117">
        <f t="shared" si="10"/>
        <v>35.879999999999995</v>
      </c>
    </row>
    <row r="28" spans="1:43" s="17" customFormat="1" x14ac:dyDescent="0.2">
      <c r="A28" s="18" t="s">
        <v>130</v>
      </c>
      <c r="B28" s="19">
        <f>AVERAGE(AA22:AB22,B22)</f>
        <v>46.579999999999991</v>
      </c>
      <c r="C28" s="19">
        <f>AVERAGE(AB22,B22:C22)</f>
        <v>43.839999999999996</v>
      </c>
      <c r="D28" s="19">
        <f t="shared" ref="D28:AP28" si="11">AVERAGE(B22:D22)</f>
        <v>41.099999999999994</v>
      </c>
      <c r="E28" s="19">
        <f t="shared" si="11"/>
        <v>41.099999999999994</v>
      </c>
      <c r="F28" s="19">
        <f t="shared" si="11"/>
        <v>41.099999999999994</v>
      </c>
      <c r="G28" s="19">
        <f t="shared" si="11"/>
        <v>41.099999999999994</v>
      </c>
      <c r="H28" s="19">
        <f t="shared" si="11"/>
        <v>42.47</v>
      </c>
      <c r="I28" s="19">
        <f t="shared" si="11"/>
        <v>45.21</v>
      </c>
      <c r="J28" s="19">
        <f t="shared" si="11"/>
        <v>49.319999999999993</v>
      </c>
      <c r="K28" s="19">
        <f t="shared" si="11"/>
        <v>53.429999999999986</v>
      </c>
      <c r="L28" s="19">
        <f t="shared" si="11"/>
        <v>56.169999999999987</v>
      </c>
      <c r="M28" s="19">
        <f t="shared" si="11"/>
        <v>57.539999999999985</v>
      </c>
      <c r="N28" s="19">
        <f t="shared" si="11"/>
        <v>57.539999999999985</v>
      </c>
      <c r="O28" s="19">
        <f t="shared" si="11"/>
        <v>57.539999999999985</v>
      </c>
      <c r="P28" s="19">
        <f t="shared" si="11"/>
        <v>57.539999999999985</v>
      </c>
      <c r="Q28" s="19">
        <f t="shared" si="11"/>
        <v>49.319999999999993</v>
      </c>
      <c r="R28" s="19">
        <f t="shared" si="11"/>
        <v>52.059999999999995</v>
      </c>
      <c r="S28" s="19">
        <f t="shared" si="11"/>
        <v>54.79999999999999</v>
      </c>
      <c r="T28" s="19">
        <f t="shared" si="11"/>
        <v>65.759999999999991</v>
      </c>
      <c r="U28" s="19">
        <f t="shared" si="11"/>
        <v>65.759999999999991</v>
      </c>
      <c r="V28" s="19">
        <f t="shared" si="11"/>
        <v>65.759999999999991</v>
      </c>
      <c r="W28" s="19">
        <f t="shared" si="11"/>
        <v>63.019999999999989</v>
      </c>
      <c r="X28" s="19">
        <f t="shared" si="11"/>
        <v>52.059999999999995</v>
      </c>
      <c r="Y28" s="19">
        <f t="shared" si="11"/>
        <v>46.579999999999991</v>
      </c>
      <c r="Z28" s="19">
        <f t="shared" si="11"/>
        <v>43.839999999999996</v>
      </c>
      <c r="AA28" s="19">
        <f t="shared" si="11"/>
        <v>49.319999999999993</v>
      </c>
      <c r="AB28" s="84">
        <f t="shared" si="11"/>
        <v>49.319999999999993</v>
      </c>
      <c r="AC28" s="108">
        <f t="shared" si="11"/>
        <v>46.579999999999991</v>
      </c>
      <c r="AD28" s="84">
        <f t="shared" si="11"/>
        <v>45.21</v>
      </c>
      <c r="AE28" s="84">
        <f t="shared" si="11"/>
        <v>45.21</v>
      </c>
      <c r="AF28" s="84">
        <f t="shared" si="11"/>
        <v>49.319999999999993</v>
      </c>
      <c r="AG28" s="84">
        <f t="shared" si="11"/>
        <v>53.429999999999986</v>
      </c>
      <c r="AH28" s="84">
        <f t="shared" si="11"/>
        <v>56.169999999999987</v>
      </c>
      <c r="AI28" s="84">
        <f t="shared" si="11"/>
        <v>57.539999999999985</v>
      </c>
      <c r="AJ28" s="84">
        <f t="shared" si="11"/>
        <v>57.539999999999985</v>
      </c>
      <c r="AK28" s="84">
        <f t="shared" si="11"/>
        <v>57.539999999999985</v>
      </c>
      <c r="AL28" s="84">
        <f t="shared" si="11"/>
        <v>57.539999999999985</v>
      </c>
      <c r="AM28" s="84">
        <f t="shared" si="11"/>
        <v>54.79999999999999</v>
      </c>
      <c r="AN28" s="84">
        <f t="shared" si="11"/>
        <v>52.059999999999995</v>
      </c>
      <c r="AO28" s="84">
        <f t="shared" si="11"/>
        <v>49.319999999999993</v>
      </c>
      <c r="AP28" s="109">
        <f t="shared" si="11"/>
        <v>49.319999999999993</v>
      </c>
      <c r="AQ28" s="117" t="s">
        <v>131</v>
      </c>
    </row>
    <row r="29" spans="1:43" s="17" customFormat="1" x14ac:dyDescent="0.2">
      <c r="A29" s="245" t="s">
        <v>132</v>
      </c>
      <c r="B29" s="656"/>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2"/>
      <c r="AD29" s="243"/>
      <c r="AE29" s="243"/>
      <c r="AF29" s="243"/>
      <c r="AG29" s="243"/>
      <c r="AH29" s="243"/>
      <c r="AI29" s="243"/>
      <c r="AJ29" s="243"/>
      <c r="AK29" s="243"/>
      <c r="AL29" s="243"/>
      <c r="AM29" s="243"/>
      <c r="AN29" s="243"/>
      <c r="AO29" s="243"/>
      <c r="AP29" s="244"/>
      <c r="AQ29" s="685"/>
    </row>
    <row r="30" spans="1:43" s="17" customFormat="1" x14ac:dyDescent="0.2">
      <c r="A30" s="18" t="s">
        <v>133</v>
      </c>
      <c r="B30" s="654">
        <f t="shared" ref="B30:AQ30" si="12">IF(ISBLANK(B101),0,$B$11)</f>
        <v>10.8</v>
      </c>
      <c r="C30" s="654">
        <f t="shared" si="12"/>
        <v>10.8</v>
      </c>
      <c r="D30" s="654">
        <f t="shared" si="12"/>
        <v>10.8</v>
      </c>
      <c r="E30" s="654">
        <f t="shared" si="12"/>
        <v>0</v>
      </c>
      <c r="F30" s="654">
        <f t="shared" si="12"/>
        <v>10.8</v>
      </c>
      <c r="G30" s="654">
        <f t="shared" si="12"/>
        <v>10.8</v>
      </c>
      <c r="H30" s="654">
        <f t="shared" si="12"/>
        <v>10.8</v>
      </c>
      <c r="I30" s="654">
        <f t="shared" si="12"/>
        <v>10.8</v>
      </c>
      <c r="J30" s="654">
        <f t="shared" si="12"/>
        <v>0</v>
      </c>
      <c r="K30" s="654">
        <f t="shared" si="12"/>
        <v>0</v>
      </c>
      <c r="L30" s="654">
        <f t="shared" si="12"/>
        <v>0</v>
      </c>
      <c r="M30" s="654">
        <f t="shared" si="12"/>
        <v>0</v>
      </c>
      <c r="N30" s="654">
        <f t="shared" si="12"/>
        <v>10.8</v>
      </c>
      <c r="O30" s="654">
        <f t="shared" si="12"/>
        <v>10.8</v>
      </c>
      <c r="P30" s="654">
        <f t="shared" si="12"/>
        <v>0</v>
      </c>
      <c r="Q30" s="654">
        <f t="shared" si="12"/>
        <v>0</v>
      </c>
      <c r="R30" s="654">
        <f t="shared" si="12"/>
        <v>0</v>
      </c>
      <c r="S30" s="654">
        <f t="shared" si="12"/>
        <v>0</v>
      </c>
      <c r="T30" s="654">
        <f t="shared" si="12"/>
        <v>0</v>
      </c>
      <c r="U30" s="654">
        <f t="shared" si="12"/>
        <v>0</v>
      </c>
      <c r="V30" s="654">
        <f t="shared" si="12"/>
        <v>0</v>
      </c>
      <c r="W30" s="654">
        <f t="shared" si="12"/>
        <v>0</v>
      </c>
      <c r="X30" s="654">
        <f t="shared" si="12"/>
        <v>0</v>
      </c>
      <c r="Y30" s="654">
        <f t="shared" si="12"/>
        <v>10.8</v>
      </c>
      <c r="Z30" s="654">
        <f t="shared" si="12"/>
        <v>10.8</v>
      </c>
      <c r="AA30" s="654">
        <f t="shared" si="12"/>
        <v>10.8</v>
      </c>
      <c r="AB30" s="655">
        <f t="shared" si="12"/>
        <v>10.8</v>
      </c>
      <c r="AC30" s="258">
        <f t="shared" si="12"/>
        <v>0</v>
      </c>
      <c r="AD30" s="654">
        <f t="shared" si="12"/>
        <v>0</v>
      </c>
      <c r="AE30" s="654">
        <f t="shared" si="12"/>
        <v>0</v>
      </c>
      <c r="AF30" s="654">
        <f t="shared" si="12"/>
        <v>0</v>
      </c>
      <c r="AG30" s="654">
        <f t="shared" si="12"/>
        <v>0</v>
      </c>
      <c r="AH30" s="654">
        <f t="shared" si="12"/>
        <v>0</v>
      </c>
      <c r="AI30" s="654">
        <f t="shared" si="12"/>
        <v>0</v>
      </c>
      <c r="AJ30" s="654">
        <f t="shared" si="12"/>
        <v>0</v>
      </c>
      <c r="AK30" s="654">
        <f t="shared" si="12"/>
        <v>0</v>
      </c>
      <c r="AL30" s="654">
        <f t="shared" si="12"/>
        <v>0</v>
      </c>
      <c r="AM30" s="654">
        <f t="shared" si="12"/>
        <v>0</v>
      </c>
      <c r="AN30" s="654">
        <f t="shared" si="12"/>
        <v>0</v>
      </c>
      <c r="AO30" s="654">
        <f t="shared" si="12"/>
        <v>0</v>
      </c>
      <c r="AP30" s="657">
        <f t="shared" si="12"/>
        <v>0</v>
      </c>
      <c r="AQ30" s="682">
        <f t="shared" si="12"/>
        <v>10.8</v>
      </c>
    </row>
    <row r="31" spans="1:43" s="17" customFormat="1" ht="12.75" x14ac:dyDescent="0.2">
      <c r="A31" s="528" t="s">
        <v>134</v>
      </c>
      <c r="B31" s="529"/>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93"/>
      <c r="AD31" s="30"/>
      <c r="AE31" s="30"/>
      <c r="AF31" s="30"/>
      <c r="AG31" s="30"/>
      <c r="AH31" s="30"/>
      <c r="AI31" s="30"/>
      <c r="AJ31" s="30"/>
      <c r="AK31" s="30"/>
      <c r="AL31" s="30"/>
      <c r="AM31" s="30"/>
      <c r="AN31" s="30"/>
      <c r="AO31" s="30"/>
      <c r="AP31" s="94"/>
      <c r="AQ31" s="257"/>
    </row>
    <row r="32" spans="1:43" s="17" customFormat="1" x14ac:dyDescent="0.2">
      <c r="A32" s="488" t="s">
        <v>135</v>
      </c>
      <c r="B32" s="508">
        <v>0.7</v>
      </c>
      <c r="C32" s="508">
        <v>0.7</v>
      </c>
      <c r="D32" s="508">
        <v>0.7</v>
      </c>
      <c r="E32" s="508">
        <v>0.7</v>
      </c>
      <c r="F32" s="508">
        <v>0.7</v>
      </c>
      <c r="G32" s="508">
        <v>0.7</v>
      </c>
      <c r="H32" s="508">
        <v>0.8</v>
      </c>
      <c r="I32" s="508">
        <v>0.8</v>
      </c>
      <c r="J32" s="508">
        <v>0.8</v>
      </c>
      <c r="K32" s="508">
        <v>0.9</v>
      </c>
      <c r="L32" s="508">
        <v>0.9</v>
      </c>
      <c r="M32" s="508">
        <v>0.9</v>
      </c>
      <c r="N32" s="508">
        <v>1</v>
      </c>
      <c r="O32" s="508">
        <v>1</v>
      </c>
      <c r="P32" s="508">
        <v>1</v>
      </c>
      <c r="Q32" s="508">
        <v>1</v>
      </c>
      <c r="R32" s="508">
        <v>1</v>
      </c>
      <c r="S32" s="508">
        <v>1</v>
      </c>
      <c r="T32" s="508">
        <v>1</v>
      </c>
      <c r="U32" s="508">
        <v>1</v>
      </c>
      <c r="V32" s="508">
        <v>1</v>
      </c>
      <c r="W32" s="508">
        <v>1</v>
      </c>
      <c r="X32" s="508">
        <v>1</v>
      </c>
      <c r="Y32" s="508">
        <v>1</v>
      </c>
      <c r="Z32" s="508">
        <v>1</v>
      </c>
      <c r="AA32" s="508">
        <v>1</v>
      </c>
      <c r="AB32" s="509">
        <v>1</v>
      </c>
      <c r="AC32" s="92">
        <v>0.7</v>
      </c>
      <c r="AD32" s="508">
        <v>0.8</v>
      </c>
      <c r="AE32" s="508">
        <v>0.8</v>
      </c>
      <c r="AF32" s="508">
        <v>0.8</v>
      </c>
      <c r="AG32" s="508">
        <v>0.9</v>
      </c>
      <c r="AH32" s="508">
        <v>0.9</v>
      </c>
      <c r="AI32" s="508">
        <v>0.9</v>
      </c>
      <c r="AJ32" s="508">
        <v>1</v>
      </c>
      <c r="AK32" s="508">
        <v>1</v>
      </c>
      <c r="AL32" s="508">
        <v>1</v>
      </c>
      <c r="AM32" s="508">
        <v>0.8</v>
      </c>
      <c r="AN32" s="508">
        <v>0.8</v>
      </c>
      <c r="AO32" s="508">
        <v>0.8</v>
      </c>
      <c r="AP32" s="510">
        <v>0.8</v>
      </c>
      <c r="AQ32" s="511">
        <v>0.7</v>
      </c>
    </row>
    <row r="33" spans="1:43" s="17" customFormat="1" x14ac:dyDescent="0.2">
      <c r="A33" s="488" t="s">
        <v>136</v>
      </c>
      <c r="B33" s="532">
        <f t="shared" ref="B33:G33" si="13">B32*0.8</f>
        <v>0.55999999999999994</v>
      </c>
      <c r="C33" s="532">
        <f t="shared" si="13"/>
        <v>0.55999999999999994</v>
      </c>
      <c r="D33" s="532">
        <f t="shared" si="13"/>
        <v>0.55999999999999994</v>
      </c>
      <c r="E33" s="532">
        <f t="shared" si="13"/>
        <v>0.55999999999999994</v>
      </c>
      <c r="F33" s="532">
        <f t="shared" si="13"/>
        <v>0.55999999999999994</v>
      </c>
      <c r="G33" s="532">
        <f t="shared" si="13"/>
        <v>0.55999999999999994</v>
      </c>
      <c r="H33" s="532">
        <f t="shared" ref="H33:AQ33" si="14">H32*0.8</f>
        <v>0.64000000000000012</v>
      </c>
      <c r="I33" s="532">
        <f t="shared" si="14"/>
        <v>0.64000000000000012</v>
      </c>
      <c r="J33" s="532">
        <f t="shared" si="14"/>
        <v>0.64000000000000012</v>
      </c>
      <c r="K33" s="532">
        <f t="shared" si="14"/>
        <v>0.72000000000000008</v>
      </c>
      <c r="L33" s="532">
        <f t="shared" si="14"/>
        <v>0.72000000000000008</v>
      </c>
      <c r="M33" s="532">
        <f t="shared" si="14"/>
        <v>0.72000000000000008</v>
      </c>
      <c r="N33" s="532">
        <f t="shared" si="14"/>
        <v>0.8</v>
      </c>
      <c r="O33" s="532">
        <f t="shared" si="14"/>
        <v>0.8</v>
      </c>
      <c r="P33" s="532">
        <f t="shared" si="14"/>
        <v>0.8</v>
      </c>
      <c r="Q33" s="532">
        <f t="shared" si="14"/>
        <v>0.8</v>
      </c>
      <c r="R33" s="532">
        <f t="shared" si="14"/>
        <v>0.8</v>
      </c>
      <c r="S33" s="532">
        <f t="shared" si="14"/>
        <v>0.8</v>
      </c>
      <c r="T33" s="532">
        <f t="shared" si="14"/>
        <v>0.8</v>
      </c>
      <c r="U33" s="532">
        <f t="shared" si="14"/>
        <v>0.8</v>
      </c>
      <c r="V33" s="532">
        <f t="shared" si="14"/>
        <v>0.8</v>
      </c>
      <c r="W33" s="532">
        <f t="shared" si="14"/>
        <v>0.8</v>
      </c>
      <c r="X33" s="532">
        <f t="shared" si="14"/>
        <v>0.8</v>
      </c>
      <c r="Y33" s="532">
        <f t="shared" si="14"/>
        <v>0.8</v>
      </c>
      <c r="Z33" s="532">
        <f t="shared" si="14"/>
        <v>0.8</v>
      </c>
      <c r="AA33" s="532">
        <f t="shared" si="14"/>
        <v>0.8</v>
      </c>
      <c r="AB33" s="533">
        <f t="shared" si="14"/>
        <v>0.8</v>
      </c>
      <c r="AC33" s="365">
        <f t="shared" si="14"/>
        <v>0.55999999999999994</v>
      </c>
      <c r="AD33" s="532">
        <f t="shared" si="14"/>
        <v>0.64000000000000012</v>
      </c>
      <c r="AE33" s="532">
        <f t="shared" si="14"/>
        <v>0.64000000000000012</v>
      </c>
      <c r="AF33" s="532">
        <f t="shared" si="14"/>
        <v>0.64000000000000012</v>
      </c>
      <c r="AG33" s="532">
        <f t="shared" si="14"/>
        <v>0.72000000000000008</v>
      </c>
      <c r="AH33" s="532">
        <f t="shared" si="14"/>
        <v>0.72000000000000008</v>
      </c>
      <c r="AI33" s="532">
        <f t="shared" si="14"/>
        <v>0.72000000000000008</v>
      </c>
      <c r="AJ33" s="532">
        <f t="shared" si="14"/>
        <v>0.8</v>
      </c>
      <c r="AK33" s="532">
        <f t="shared" si="14"/>
        <v>0.8</v>
      </c>
      <c r="AL33" s="532">
        <f t="shared" si="14"/>
        <v>0.8</v>
      </c>
      <c r="AM33" s="532">
        <f t="shared" si="14"/>
        <v>0.64000000000000012</v>
      </c>
      <c r="AN33" s="532">
        <f t="shared" si="14"/>
        <v>0.64000000000000012</v>
      </c>
      <c r="AO33" s="532">
        <f t="shared" si="14"/>
        <v>0.64000000000000012</v>
      </c>
      <c r="AP33" s="683">
        <f t="shared" si="14"/>
        <v>0.64000000000000012</v>
      </c>
      <c r="AQ33" s="684">
        <f t="shared" si="14"/>
        <v>0.55999999999999994</v>
      </c>
    </row>
    <row r="34" spans="1:43" s="17" customFormat="1" x14ac:dyDescent="0.2">
      <c r="A34" s="488" t="s">
        <v>137</v>
      </c>
      <c r="B34" s="532">
        <f>((B36*$B$125)/$B$2)</f>
        <v>0.47518015118500612</v>
      </c>
      <c r="C34" s="532">
        <f t="shared" ref="C34:AQ34" si="15">((C36*$B$125)/$B$2)</f>
        <v>0.47518015118500612</v>
      </c>
      <c r="D34" s="532">
        <f t="shared" si="15"/>
        <v>0.47518015118500612</v>
      </c>
      <c r="E34" s="532">
        <f t="shared" si="15"/>
        <v>0.47518015118500612</v>
      </c>
      <c r="F34" s="532">
        <f t="shared" si="15"/>
        <v>0.47518015118500612</v>
      </c>
      <c r="G34" s="532">
        <f t="shared" si="15"/>
        <v>0.47518015118500612</v>
      </c>
      <c r="H34" s="532">
        <f t="shared" si="15"/>
        <v>0.5430630299257212</v>
      </c>
      <c r="I34" s="532">
        <f t="shared" si="15"/>
        <v>0.5430630299257212</v>
      </c>
      <c r="J34" s="532">
        <f t="shared" si="15"/>
        <v>0.5430630299257212</v>
      </c>
      <c r="K34" s="532">
        <f t="shared" si="15"/>
        <v>0.61094590866643639</v>
      </c>
      <c r="L34" s="532">
        <f t="shared" si="15"/>
        <v>0.61094590866643639</v>
      </c>
      <c r="M34" s="532">
        <f t="shared" si="15"/>
        <v>0.61094590866643639</v>
      </c>
      <c r="N34" s="532">
        <f t="shared" si="15"/>
        <v>0.67882878740715158</v>
      </c>
      <c r="O34" s="532">
        <f t="shared" si="15"/>
        <v>0.67882878740715158</v>
      </c>
      <c r="P34" s="532">
        <f t="shared" si="15"/>
        <v>0.67882878740715158</v>
      </c>
      <c r="Q34" s="532">
        <f t="shared" si="15"/>
        <v>0.67882878740715158</v>
      </c>
      <c r="R34" s="532">
        <f t="shared" si="15"/>
        <v>0.67882878740715158</v>
      </c>
      <c r="S34" s="532">
        <f t="shared" si="15"/>
        <v>0.67882878740715158</v>
      </c>
      <c r="T34" s="532">
        <f t="shared" si="15"/>
        <v>0.67882878740715158</v>
      </c>
      <c r="U34" s="532">
        <f t="shared" si="15"/>
        <v>0.67882878740715158</v>
      </c>
      <c r="V34" s="532">
        <f t="shared" si="15"/>
        <v>0.67882878740715158</v>
      </c>
      <c r="W34" s="532">
        <f t="shared" si="15"/>
        <v>0.67882878740715158</v>
      </c>
      <c r="X34" s="532">
        <f t="shared" si="15"/>
        <v>0.67882878740715158</v>
      </c>
      <c r="Y34" s="532">
        <f t="shared" si="15"/>
        <v>0.67882878740715158</v>
      </c>
      <c r="Z34" s="532">
        <f t="shared" si="15"/>
        <v>0.67882878740715158</v>
      </c>
      <c r="AA34" s="532">
        <f t="shared" si="15"/>
        <v>0.67882878740715158</v>
      </c>
      <c r="AB34" s="533">
        <f t="shared" si="15"/>
        <v>0.67882878740715158</v>
      </c>
      <c r="AC34" s="365">
        <f t="shared" si="15"/>
        <v>0.47518015118500612</v>
      </c>
      <c r="AD34" s="532">
        <f t="shared" si="15"/>
        <v>0.5430630299257212</v>
      </c>
      <c r="AE34" s="532">
        <f t="shared" si="15"/>
        <v>0.5430630299257212</v>
      </c>
      <c r="AF34" s="532">
        <f t="shared" si="15"/>
        <v>0.5430630299257212</v>
      </c>
      <c r="AG34" s="532">
        <f t="shared" si="15"/>
        <v>0.61094590866643639</v>
      </c>
      <c r="AH34" s="532">
        <f t="shared" si="15"/>
        <v>0.61094590866643639</v>
      </c>
      <c r="AI34" s="532">
        <f t="shared" si="15"/>
        <v>0.61094590866643639</v>
      </c>
      <c r="AJ34" s="532">
        <f t="shared" si="15"/>
        <v>0.67882878740715158</v>
      </c>
      <c r="AK34" s="532">
        <f t="shared" si="15"/>
        <v>0.67882878740715158</v>
      </c>
      <c r="AL34" s="532">
        <f t="shared" si="15"/>
        <v>0.67882878740715158</v>
      </c>
      <c r="AM34" s="532">
        <f t="shared" si="15"/>
        <v>0.5430630299257212</v>
      </c>
      <c r="AN34" s="532">
        <f t="shared" si="15"/>
        <v>0.5430630299257212</v>
      </c>
      <c r="AO34" s="532">
        <f t="shared" si="15"/>
        <v>0.5430630299257212</v>
      </c>
      <c r="AP34" s="683">
        <f t="shared" si="15"/>
        <v>0.5430630299257212</v>
      </c>
      <c r="AQ34" s="684">
        <f t="shared" si="15"/>
        <v>0.47518015118500612</v>
      </c>
    </row>
    <row r="35" spans="1:43" s="17" customFormat="1" x14ac:dyDescent="0.2">
      <c r="A35" s="536" t="s">
        <v>138</v>
      </c>
      <c r="B35" s="537">
        <f t="shared" ref="B35:AQ35" si="16">ROUND($B$2*B32,2)</f>
        <v>1.4</v>
      </c>
      <c r="C35" s="537">
        <f t="shared" si="16"/>
        <v>1.4</v>
      </c>
      <c r="D35" s="537">
        <f t="shared" si="16"/>
        <v>1.4</v>
      </c>
      <c r="E35" s="537">
        <f t="shared" si="16"/>
        <v>1.4</v>
      </c>
      <c r="F35" s="537">
        <f t="shared" si="16"/>
        <v>1.4</v>
      </c>
      <c r="G35" s="537">
        <f t="shared" si="16"/>
        <v>1.4</v>
      </c>
      <c r="H35" s="537">
        <f t="shared" si="16"/>
        <v>1.6</v>
      </c>
      <c r="I35" s="537">
        <f t="shared" si="16"/>
        <v>1.6</v>
      </c>
      <c r="J35" s="537">
        <f t="shared" si="16"/>
        <v>1.6</v>
      </c>
      <c r="K35" s="537">
        <f t="shared" si="16"/>
        <v>1.8</v>
      </c>
      <c r="L35" s="537">
        <f t="shared" si="16"/>
        <v>1.8</v>
      </c>
      <c r="M35" s="537">
        <f t="shared" si="16"/>
        <v>1.8</v>
      </c>
      <c r="N35" s="537">
        <f t="shared" si="16"/>
        <v>2</v>
      </c>
      <c r="O35" s="537">
        <f t="shared" si="16"/>
        <v>2</v>
      </c>
      <c r="P35" s="537">
        <f t="shared" si="16"/>
        <v>2</v>
      </c>
      <c r="Q35" s="537">
        <f t="shared" si="16"/>
        <v>2</v>
      </c>
      <c r="R35" s="537">
        <f t="shared" si="16"/>
        <v>2</v>
      </c>
      <c r="S35" s="537">
        <f t="shared" si="16"/>
        <v>2</v>
      </c>
      <c r="T35" s="537">
        <f t="shared" si="16"/>
        <v>2</v>
      </c>
      <c r="U35" s="537">
        <f t="shared" si="16"/>
        <v>2</v>
      </c>
      <c r="V35" s="537">
        <f t="shared" si="16"/>
        <v>2</v>
      </c>
      <c r="W35" s="537">
        <f t="shared" si="16"/>
        <v>2</v>
      </c>
      <c r="X35" s="537">
        <f t="shared" si="16"/>
        <v>2</v>
      </c>
      <c r="Y35" s="537">
        <f t="shared" si="16"/>
        <v>2</v>
      </c>
      <c r="Z35" s="537">
        <f t="shared" si="16"/>
        <v>2</v>
      </c>
      <c r="AA35" s="537">
        <f t="shared" si="16"/>
        <v>2</v>
      </c>
      <c r="AB35" s="538">
        <f t="shared" si="16"/>
        <v>2</v>
      </c>
      <c r="AC35" s="95">
        <f t="shared" si="16"/>
        <v>1.4</v>
      </c>
      <c r="AD35" s="537">
        <f t="shared" si="16"/>
        <v>1.6</v>
      </c>
      <c r="AE35" s="537">
        <f t="shared" si="16"/>
        <v>1.6</v>
      </c>
      <c r="AF35" s="537">
        <f t="shared" si="16"/>
        <v>1.6</v>
      </c>
      <c r="AG35" s="537">
        <f t="shared" si="16"/>
        <v>1.8</v>
      </c>
      <c r="AH35" s="537">
        <f t="shared" si="16"/>
        <v>1.8</v>
      </c>
      <c r="AI35" s="537">
        <f t="shared" si="16"/>
        <v>1.8</v>
      </c>
      <c r="AJ35" s="537">
        <f t="shared" si="16"/>
        <v>2</v>
      </c>
      <c r="AK35" s="537">
        <f t="shared" si="16"/>
        <v>2</v>
      </c>
      <c r="AL35" s="537">
        <f t="shared" si="16"/>
        <v>2</v>
      </c>
      <c r="AM35" s="537">
        <f t="shared" si="16"/>
        <v>1.6</v>
      </c>
      <c r="AN35" s="537">
        <f t="shared" si="16"/>
        <v>1.6</v>
      </c>
      <c r="AO35" s="537">
        <f t="shared" si="16"/>
        <v>1.6</v>
      </c>
      <c r="AP35" s="539">
        <f t="shared" si="16"/>
        <v>1.6</v>
      </c>
      <c r="AQ35" s="542">
        <f t="shared" si="16"/>
        <v>1.4</v>
      </c>
    </row>
    <row r="36" spans="1:43" x14ac:dyDescent="0.2">
      <c r="A36" s="536" t="s">
        <v>139</v>
      </c>
      <c r="B36" s="537">
        <f t="shared" ref="B36:AQ36" si="17">ROUND($B$2*B33,2)</f>
        <v>1.1200000000000001</v>
      </c>
      <c r="C36" s="537">
        <f t="shared" si="17"/>
        <v>1.1200000000000001</v>
      </c>
      <c r="D36" s="537">
        <f t="shared" si="17"/>
        <v>1.1200000000000001</v>
      </c>
      <c r="E36" s="537">
        <f t="shared" si="17"/>
        <v>1.1200000000000001</v>
      </c>
      <c r="F36" s="537">
        <f t="shared" si="17"/>
        <v>1.1200000000000001</v>
      </c>
      <c r="G36" s="537">
        <f t="shared" si="17"/>
        <v>1.1200000000000001</v>
      </c>
      <c r="H36" s="537">
        <f t="shared" si="17"/>
        <v>1.28</v>
      </c>
      <c r="I36" s="537">
        <f t="shared" si="17"/>
        <v>1.28</v>
      </c>
      <c r="J36" s="537">
        <f t="shared" si="17"/>
        <v>1.28</v>
      </c>
      <c r="K36" s="537">
        <f t="shared" si="17"/>
        <v>1.44</v>
      </c>
      <c r="L36" s="537">
        <f t="shared" si="17"/>
        <v>1.44</v>
      </c>
      <c r="M36" s="537">
        <f t="shared" si="17"/>
        <v>1.44</v>
      </c>
      <c r="N36" s="537">
        <f t="shared" si="17"/>
        <v>1.6</v>
      </c>
      <c r="O36" s="537">
        <f t="shared" si="17"/>
        <v>1.6</v>
      </c>
      <c r="P36" s="537">
        <f t="shared" si="17"/>
        <v>1.6</v>
      </c>
      <c r="Q36" s="537">
        <f t="shared" si="17"/>
        <v>1.6</v>
      </c>
      <c r="R36" s="537">
        <f t="shared" si="17"/>
        <v>1.6</v>
      </c>
      <c r="S36" s="537">
        <f t="shared" si="17"/>
        <v>1.6</v>
      </c>
      <c r="T36" s="537">
        <f t="shared" si="17"/>
        <v>1.6</v>
      </c>
      <c r="U36" s="537">
        <f t="shared" si="17"/>
        <v>1.6</v>
      </c>
      <c r="V36" s="537">
        <f t="shared" si="17"/>
        <v>1.6</v>
      </c>
      <c r="W36" s="537">
        <f t="shared" si="17"/>
        <v>1.6</v>
      </c>
      <c r="X36" s="537">
        <f t="shared" si="17"/>
        <v>1.6</v>
      </c>
      <c r="Y36" s="537">
        <f t="shared" si="17"/>
        <v>1.6</v>
      </c>
      <c r="Z36" s="537">
        <f t="shared" si="17"/>
        <v>1.6</v>
      </c>
      <c r="AA36" s="537">
        <f t="shared" si="17"/>
        <v>1.6</v>
      </c>
      <c r="AB36" s="538">
        <f t="shared" si="17"/>
        <v>1.6</v>
      </c>
      <c r="AC36" s="95">
        <f t="shared" si="17"/>
        <v>1.1200000000000001</v>
      </c>
      <c r="AD36" s="537">
        <f t="shared" si="17"/>
        <v>1.28</v>
      </c>
      <c r="AE36" s="537">
        <f t="shared" si="17"/>
        <v>1.28</v>
      </c>
      <c r="AF36" s="537">
        <f t="shared" si="17"/>
        <v>1.28</v>
      </c>
      <c r="AG36" s="537">
        <f t="shared" si="17"/>
        <v>1.44</v>
      </c>
      <c r="AH36" s="537">
        <f t="shared" si="17"/>
        <v>1.44</v>
      </c>
      <c r="AI36" s="537">
        <f t="shared" si="17"/>
        <v>1.44</v>
      </c>
      <c r="AJ36" s="537">
        <f t="shared" si="17"/>
        <v>1.6</v>
      </c>
      <c r="AK36" s="537">
        <f t="shared" si="17"/>
        <v>1.6</v>
      </c>
      <c r="AL36" s="537">
        <f t="shared" si="17"/>
        <v>1.6</v>
      </c>
      <c r="AM36" s="537">
        <f t="shared" si="17"/>
        <v>1.28</v>
      </c>
      <c r="AN36" s="537">
        <f t="shared" si="17"/>
        <v>1.28</v>
      </c>
      <c r="AO36" s="537">
        <f t="shared" si="17"/>
        <v>1.28</v>
      </c>
      <c r="AP36" s="539">
        <f t="shared" si="17"/>
        <v>1.28</v>
      </c>
      <c r="AQ36" s="542">
        <f t="shared" si="17"/>
        <v>1.1200000000000001</v>
      </c>
    </row>
    <row r="37" spans="1:43" x14ac:dyDescent="0.2">
      <c r="A37" s="540" t="s">
        <v>140</v>
      </c>
      <c r="B37" s="537">
        <f>B34*$B$2</f>
        <v>0.95036030237001223</v>
      </c>
      <c r="C37" s="537">
        <f t="shared" ref="C37:AQ37" si="18">C34*$B$2</f>
        <v>0.95036030237001223</v>
      </c>
      <c r="D37" s="537">
        <f t="shared" si="18"/>
        <v>0.95036030237001223</v>
      </c>
      <c r="E37" s="537">
        <f t="shared" si="18"/>
        <v>0.95036030237001223</v>
      </c>
      <c r="F37" s="537">
        <f t="shared" si="18"/>
        <v>0.95036030237001223</v>
      </c>
      <c r="G37" s="537">
        <f t="shared" si="18"/>
        <v>0.95036030237001223</v>
      </c>
      <c r="H37" s="537">
        <f t="shared" si="18"/>
        <v>1.0861260598514424</v>
      </c>
      <c r="I37" s="537">
        <f t="shared" si="18"/>
        <v>1.0861260598514424</v>
      </c>
      <c r="J37" s="537">
        <f t="shared" si="18"/>
        <v>1.0861260598514424</v>
      </c>
      <c r="K37" s="537">
        <f t="shared" si="18"/>
        <v>1.2218918173328728</v>
      </c>
      <c r="L37" s="537">
        <f t="shared" si="18"/>
        <v>1.2218918173328728</v>
      </c>
      <c r="M37" s="537">
        <f t="shared" si="18"/>
        <v>1.2218918173328728</v>
      </c>
      <c r="N37" s="537">
        <f t="shared" si="18"/>
        <v>1.3576575748143032</v>
      </c>
      <c r="O37" s="537">
        <f t="shared" si="18"/>
        <v>1.3576575748143032</v>
      </c>
      <c r="P37" s="537">
        <f t="shared" si="18"/>
        <v>1.3576575748143032</v>
      </c>
      <c r="Q37" s="537">
        <f t="shared" si="18"/>
        <v>1.3576575748143032</v>
      </c>
      <c r="R37" s="537">
        <f t="shared" si="18"/>
        <v>1.3576575748143032</v>
      </c>
      <c r="S37" s="537">
        <f t="shared" si="18"/>
        <v>1.3576575748143032</v>
      </c>
      <c r="T37" s="537">
        <f t="shared" si="18"/>
        <v>1.3576575748143032</v>
      </c>
      <c r="U37" s="537">
        <f t="shared" si="18"/>
        <v>1.3576575748143032</v>
      </c>
      <c r="V37" s="537">
        <f t="shared" si="18"/>
        <v>1.3576575748143032</v>
      </c>
      <c r="W37" s="537">
        <f t="shared" si="18"/>
        <v>1.3576575748143032</v>
      </c>
      <c r="X37" s="537">
        <f t="shared" si="18"/>
        <v>1.3576575748143032</v>
      </c>
      <c r="Y37" s="537">
        <f t="shared" si="18"/>
        <v>1.3576575748143032</v>
      </c>
      <c r="Z37" s="537">
        <f t="shared" si="18"/>
        <v>1.3576575748143032</v>
      </c>
      <c r="AA37" s="537">
        <f t="shared" si="18"/>
        <v>1.3576575748143032</v>
      </c>
      <c r="AB37" s="539">
        <f t="shared" si="18"/>
        <v>1.3576575748143032</v>
      </c>
      <c r="AC37" s="542">
        <f t="shared" si="18"/>
        <v>0.95036030237001223</v>
      </c>
      <c r="AD37" s="537">
        <f t="shared" si="18"/>
        <v>1.0861260598514424</v>
      </c>
      <c r="AE37" s="537">
        <f t="shared" si="18"/>
        <v>1.0861260598514424</v>
      </c>
      <c r="AF37" s="537">
        <f t="shared" si="18"/>
        <v>1.0861260598514424</v>
      </c>
      <c r="AG37" s="537">
        <f t="shared" si="18"/>
        <v>1.2218918173328728</v>
      </c>
      <c r="AH37" s="537">
        <f t="shared" si="18"/>
        <v>1.2218918173328728</v>
      </c>
      <c r="AI37" s="537">
        <f t="shared" si="18"/>
        <v>1.2218918173328728</v>
      </c>
      <c r="AJ37" s="537">
        <f t="shared" si="18"/>
        <v>1.3576575748143032</v>
      </c>
      <c r="AK37" s="537">
        <f t="shared" si="18"/>
        <v>1.3576575748143032</v>
      </c>
      <c r="AL37" s="537">
        <f t="shared" si="18"/>
        <v>1.3576575748143032</v>
      </c>
      <c r="AM37" s="537">
        <f t="shared" si="18"/>
        <v>1.0861260598514424</v>
      </c>
      <c r="AN37" s="537">
        <f t="shared" si="18"/>
        <v>1.0861260598514424</v>
      </c>
      <c r="AO37" s="537">
        <f t="shared" si="18"/>
        <v>1.0861260598514424</v>
      </c>
      <c r="AP37" s="539">
        <f t="shared" si="18"/>
        <v>1.0861260598514424</v>
      </c>
      <c r="AQ37" s="542">
        <f t="shared" si="18"/>
        <v>0.95036030237001223</v>
      </c>
    </row>
    <row r="38" spans="1:43" x14ac:dyDescent="0.2">
      <c r="A38" s="543" t="s">
        <v>141</v>
      </c>
      <c r="B38" s="544"/>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89"/>
      <c r="AD38" s="39"/>
      <c r="AE38" s="39"/>
      <c r="AF38" s="39"/>
      <c r="AG38" s="39"/>
      <c r="AH38" s="39"/>
      <c r="AI38" s="39"/>
      <c r="AJ38" s="39"/>
      <c r="AK38" s="39"/>
      <c r="AL38" s="39"/>
      <c r="AM38" s="39"/>
      <c r="AN38" s="39"/>
      <c r="AO38" s="39"/>
      <c r="AP38" s="90"/>
      <c r="AQ38" s="506"/>
    </row>
    <row r="39" spans="1:43" x14ac:dyDescent="0.2">
      <c r="A39" s="546" t="s">
        <v>142</v>
      </c>
      <c r="B39" s="547">
        <f t="shared" ref="B39:AQ39" si="19">IF($B126&gt;=0.9, B$36,B$36*$B126)</f>
        <v>0.77090054364536553</v>
      </c>
      <c r="C39" s="547">
        <f t="shared" si="19"/>
        <v>0.77090054364536553</v>
      </c>
      <c r="D39" s="547">
        <f t="shared" si="19"/>
        <v>0.77090054364536553</v>
      </c>
      <c r="E39" s="547">
        <f t="shared" si="19"/>
        <v>0.77090054364536553</v>
      </c>
      <c r="F39" s="547">
        <f t="shared" si="19"/>
        <v>0.77090054364536553</v>
      </c>
      <c r="G39" s="547">
        <f t="shared" si="19"/>
        <v>0.77090054364536553</v>
      </c>
      <c r="H39" s="547">
        <f t="shared" si="19"/>
        <v>0.88102919273756064</v>
      </c>
      <c r="I39" s="547">
        <f t="shared" si="19"/>
        <v>0.88102919273756064</v>
      </c>
      <c r="J39" s="547">
        <f t="shared" si="19"/>
        <v>0.88102919273756064</v>
      </c>
      <c r="K39" s="547">
        <f t="shared" si="19"/>
        <v>0.99115784182975564</v>
      </c>
      <c r="L39" s="547">
        <f t="shared" si="19"/>
        <v>0.99115784182975564</v>
      </c>
      <c r="M39" s="547">
        <f t="shared" si="19"/>
        <v>0.99115784182975564</v>
      </c>
      <c r="N39" s="547">
        <f t="shared" si="19"/>
        <v>1.1012864909219509</v>
      </c>
      <c r="O39" s="547">
        <f t="shared" si="19"/>
        <v>1.1012864909219509</v>
      </c>
      <c r="P39" s="547">
        <f t="shared" si="19"/>
        <v>1.1012864909219509</v>
      </c>
      <c r="Q39" s="547">
        <f t="shared" si="19"/>
        <v>1.1012864909219509</v>
      </c>
      <c r="R39" s="547">
        <f t="shared" si="19"/>
        <v>1.1012864909219509</v>
      </c>
      <c r="S39" s="547">
        <f t="shared" si="19"/>
        <v>1.1012864909219509</v>
      </c>
      <c r="T39" s="547">
        <f t="shared" si="19"/>
        <v>1.1012864909219509</v>
      </c>
      <c r="U39" s="547">
        <f t="shared" si="19"/>
        <v>1.1012864909219509</v>
      </c>
      <c r="V39" s="547">
        <f t="shared" si="19"/>
        <v>1.1012864909219509</v>
      </c>
      <c r="W39" s="547">
        <f t="shared" si="19"/>
        <v>1.1012864909219509</v>
      </c>
      <c r="X39" s="547">
        <f t="shared" si="19"/>
        <v>1.1012864909219509</v>
      </c>
      <c r="Y39" s="547">
        <f t="shared" si="19"/>
        <v>1.1012864909219509</v>
      </c>
      <c r="Z39" s="547">
        <f t="shared" si="19"/>
        <v>1.1012864909219509</v>
      </c>
      <c r="AA39" s="547">
        <f t="shared" si="19"/>
        <v>1.1012864909219509</v>
      </c>
      <c r="AB39" s="548">
        <f t="shared" si="19"/>
        <v>1.1012864909219509</v>
      </c>
      <c r="AC39" s="549">
        <f t="shared" si="19"/>
        <v>0.77090054364536553</v>
      </c>
      <c r="AD39" s="547">
        <f t="shared" si="19"/>
        <v>0.88102919273756064</v>
      </c>
      <c r="AE39" s="547">
        <f t="shared" si="19"/>
        <v>0.88102919273756064</v>
      </c>
      <c r="AF39" s="547">
        <f t="shared" si="19"/>
        <v>0.88102919273756064</v>
      </c>
      <c r="AG39" s="547">
        <f t="shared" si="19"/>
        <v>0.99115784182975564</v>
      </c>
      <c r="AH39" s="547">
        <f t="shared" si="19"/>
        <v>0.99115784182975564</v>
      </c>
      <c r="AI39" s="547">
        <f t="shared" si="19"/>
        <v>0.99115784182975564</v>
      </c>
      <c r="AJ39" s="547">
        <f t="shared" si="19"/>
        <v>1.1012864909219509</v>
      </c>
      <c r="AK39" s="547">
        <f t="shared" si="19"/>
        <v>1.1012864909219509</v>
      </c>
      <c r="AL39" s="547">
        <f t="shared" si="19"/>
        <v>1.1012864909219509</v>
      </c>
      <c r="AM39" s="547">
        <f t="shared" si="19"/>
        <v>0.88102919273756064</v>
      </c>
      <c r="AN39" s="547">
        <f t="shared" si="19"/>
        <v>0.88102919273756064</v>
      </c>
      <c r="AO39" s="547">
        <f t="shared" si="19"/>
        <v>0.88102919273756064</v>
      </c>
      <c r="AP39" s="548">
        <f t="shared" si="19"/>
        <v>0.88102919273756064</v>
      </c>
      <c r="AQ39" s="549">
        <f t="shared" si="19"/>
        <v>0.77090054364536553</v>
      </c>
    </row>
    <row r="40" spans="1:43" x14ac:dyDescent="0.2">
      <c r="A40" s="546" t="s">
        <v>143</v>
      </c>
      <c r="B40" s="547">
        <f t="shared" ref="B40:AQ40" si="20">IF($B127&gt;=0.9, B$36,B$36*$B127)</f>
        <v>0.58693456169960823</v>
      </c>
      <c r="C40" s="547">
        <f t="shared" si="20"/>
        <v>0.58693456169960823</v>
      </c>
      <c r="D40" s="547">
        <f t="shared" si="20"/>
        <v>0.58693456169960823</v>
      </c>
      <c r="E40" s="547">
        <f t="shared" si="20"/>
        <v>0.58693456169960823</v>
      </c>
      <c r="F40" s="547">
        <f t="shared" si="20"/>
        <v>0.58693456169960823</v>
      </c>
      <c r="G40" s="547">
        <f t="shared" si="20"/>
        <v>0.58693456169960823</v>
      </c>
      <c r="H40" s="547">
        <f t="shared" si="20"/>
        <v>0.67078235622812354</v>
      </c>
      <c r="I40" s="547">
        <f t="shared" si="20"/>
        <v>0.67078235622812354</v>
      </c>
      <c r="J40" s="547">
        <f t="shared" si="20"/>
        <v>0.67078235622812354</v>
      </c>
      <c r="K40" s="547">
        <f t="shared" si="20"/>
        <v>0.75463015075663897</v>
      </c>
      <c r="L40" s="547">
        <f t="shared" si="20"/>
        <v>0.75463015075663897</v>
      </c>
      <c r="M40" s="547">
        <f t="shared" si="20"/>
        <v>0.75463015075663897</v>
      </c>
      <c r="N40" s="547">
        <f t="shared" si="20"/>
        <v>0.83847794528515451</v>
      </c>
      <c r="O40" s="547">
        <f t="shared" si="20"/>
        <v>0.83847794528515451</v>
      </c>
      <c r="P40" s="547">
        <f t="shared" si="20"/>
        <v>0.83847794528515451</v>
      </c>
      <c r="Q40" s="547">
        <f t="shared" si="20"/>
        <v>0.83847794528515451</v>
      </c>
      <c r="R40" s="547">
        <f t="shared" si="20"/>
        <v>0.83847794528515451</v>
      </c>
      <c r="S40" s="547">
        <f t="shared" si="20"/>
        <v>0.83847794528515451</v>
      </c>
      <c r="T40" s="547">
        <f t="shared" si="20"/>
        <v>0.83847794528515451</v>
      </c>
      <c r="U40" s="547">
        <f t="shared" si="20"/>
        <v>0.83847794528515451</v>
      </c>
      <c r="V40" s="547">
        <f t="shared" si="20"/>
        <v>0.83847794528515451</v>
      </c>
      <c r="W40" s="547">
        <f t="shared" si="20"/>
        <v>0.83847794528515451</v>
      </c>
      <c r="X40" s="547">
        <f t="shared" si="20"/>
        <v>0.83847794528515451</v>
      </c>
      <c r="Y40" s="547">
        <f t="shared" si="20"/>
        <v>0.83847794528515451</v>
      </c>
      <c r="Z40" s="547">
        <f t="shared" si="20"/>
        <v>0.83847794528515451</v>
      </c>
      <c r="AA40" s="547">
        <f t="shared" si="20"/>
        <v>0.83847794528515451</v>
      </c>
      <c r="AB40" s="548">
        <f t="shared" si="20"/>
        <v>0.83847794528515451</v>
      </c>
      <c r="AC40" s="549">
        <f t="shared" si="20"/>
        <v>0.58693456169960823</v>
      </c>
      <c r="AD40" s="547">
        <f t="shared" si="20"/>
        <v>0.67078235622812354</v>
      </c>
      <c r="AE40" s="547">
        <f t="shared" si="20"/>
        <v>0.67078235622812354</v>
      </c>
      <c r="AF40" s="547">
        <f t="shared" si="20"/>
        <v>0.67078235622812354</v>
      </c>
      <c r="AG40" s="547">
        <f t="shared" si="20"/>
        <v>0.75463015075663897</v>
      </c>
      <c r="AH40" s="547">
        <f t="shared" si="20"/>
        <v>0.75463015075663897</v>
      </c>
      <c r="AI40" s="547">
        <f t="shared" si="20"/>
        <v>0.75463015075663897</v>
      </c>
      <c r="AJ40" s="547">
        <f t="shared" si="20"/>
        <v>0.83847794528515451</v>
      </c>
      <c r="AK40" s="547">
        <f t="shared" si="20"/>
        <v>0.83847794528515451</v>
      </c>
      <c r="AL40" s="547">
        <f t="shared" si="20"/>
        <v>0.83847794528515451</v>
      </c>
      <c r="AM40" s="547">
        <f t="shared" si="20"/>
        <v>0.67078235622812354</v>
      </c>
      <c r="AN40" s="547">
        <f t="shared" si="20"/>
        <v>0.67078235622812354</v>
      </c>
      <c r="AO40" s="547">
        <f t="shared" si="20"/>
        <v>0.67078235622812354</v>
      </c>
      <c r="AP40" s="548">
        <f t="shared" si="20"/>
        <v>0.67078235622812354</v>
      </c>
      <c r="AQ40" s="549">
        <f t="shared" si="20"/>
        <v>0.58693456169960823</v>
      </c>
    </row>
    <row r="41" spans="1:43" x14ac:dyDescent="0.2">
      <c r="A41" s="550" t="s">
        <v>144</v>
      </c>
      <c r="B41" s="547">
        <f t="shared" ref="B41:AQ41" si="21">IF($B128&gt;=0.9, B$36,B$36*$B128)</f>
        <v>0.58639977686837041</v>
      </c>
      <c r="C41" s="547">
        <f t="shared" si="21"/>
        <v>0.58639977686837041</v>
      </c>
      <c r="D41" s="547">
        <f t="shared" si="21"/>
        <v>0.58639977686837041</v>
      </c>
      <c r="E41" s="547">
        <f t="shared" si="21"/>
        <v>0.58639977686837041</v>
      </c>
      <c r="F41" s="547">
        <f t="shared" si="21"/>
        <v>0.58639977686837041</v>
      </c>
      <c r="G41" s="547">
        <f t="shared" si="21"/>
        <v>0.58639977686837041</v>
      </c>
      <c r="H41" s="547">
        <f t="shared" si="21"/>
        <v>0.67017117356385192</v>
      </c>
      <c r="I41" s="547">
        <f t="shared" si="21"/>
        <v>0.67017117356385192</v>
      </c>
      <c r="J41" s="547">
        <f t="shared" si="21"/>
        <v>0.67017117356385192</v>
      </c>
      <c r="K41" s="547">
        <f t="shared" si="21"/>
        <v>0.75394257025933331</v>
      </c>
      <c r="L41" s="547">
        <f t="shared" si="21"/>
        <v>0.75394257025933331</v>
      </c>
      <c r="M41" s="547">
        <f t="shared" si="21"/>
        <v>0.75394257025933331</v>
      </c>
      <c r="N41" s="547">
        <f t="shared" si="21"/>
        <v>0.83771396695481481</v>
      </c>
      <c r="O41" s="547">
        <f t="shared" si="21"/>
        <v>0.83771396695481481</v>
      </c>
      <c r="P41" s="547">
        <f t="shared" si="21"/>
        <v>0.83771396695481481</v>
      </c>
      <c r="Q41" s="547">
        <f t="shared" si="21"/>
        <v>0.83771396695481481</v>
      </c>
      <c r="R41" s="547">
        <f t="shared" si="21"/>
        <v>0.83771396695481481</v>
      </c>
      <c r="S41" s="547">
        <f t="shared" si="21"/>
        <v>0.83771396695481481</v>
      </c>
      <c r="T41" s="547">
        <f t="shared" si="21"/>
        <v>0.83771396695481481</v>
      </c>
      <c r="U41" s="547">
        <f t="shared" si="21"/>
        <v>0.83771396695481481</v>
      </c>
      <c r="V41" s="547">
        <f t="shared" si="21"/>
        <v>0.83771396695481481</v>
      </c>
      <c r="W41" s="547">
        <f t="shared" si="21"/>
        <v>0.83771396695481481</v>
      </c>
      <c r="X41" s="547">
        <f t="shared" si="21"/>
        <v>0.83771396695481481</v>
      </c>
      <c r="Y41" s="547">
        <f t="shared" si="21"/>
        <v>0.83771396695481481</v>
      </c>
      <c r="Z41" s="547">
        <f t="shared" si="21"/>
        <v>0.83771396695481481</v>
      </c>
      <c r="AA41" s="547">
        <f t="shared" si="21"/>
        <v>0.83771396695481481</v>
      </c>
      <c r="AB41" s="548">
        <f t="shared" si="21"/>
        <v>0.83771396695481481</v>
      </c>
      <c r="AC41" s="549">
        <f t="shared" si="21"/>
        <v>0.58639977686837041</v>
      </c>
      <c r="AD41" s="547">
        <f t="shared" si="21"/>
        <v>0.67017117356385192</v>
      </c>
      <c r="AE41" s="547">
        <f t="shared" si="21"/>
        <v>0.67017117356385192</v>
      </c>
      <c r="AF41" s="547">
        <f t="shared" si="21"/>
        <v>0.67017117356385192</v>
      </c>
      <c r="AG41" s="547">
        <f t="shared" si="21"/>
        <v>0.75394257025933331</v>
      </c>
      <c r="AH41" s="547">
        <f t="shared" si="21"/>
        <v>0.75394257025933331</v>
      </c>
      <c r="AI41" s="547">
        <f t="shared" si="21"/>
        <v>0.75394257025933331</v>
      </c>
      <c r="AJ41" s="547">
        <f t="shared" si="21"/>
        <v>0.83771396695481481</v>
      </c>
      <c r="AK41" s="547">
        <f t="shared" si="21"/>
        <v>0.83771396695481481</v>
      </c>
      <c r="AL41" s="547">
        <f t="shared" si="21"/>
        <v>0.83771396695481481</v>
      </c>
      <c r="AM41" s="547">
        <f t="shared" si="21"/>
        <v>0.67017117356385192</v>
      </c>
      <c r="AN41" s="547">
        <f t="shared" si="21"/>
        <v>0.67017117356385192</v>
      </c>
      <c r="AO41" s="547">
        <f t="shared" si="21"/>
        <v>0.67017117356385192</v>
      </c>
      <c r="AP41" s="548">
        <f t="shared" si="21"/>
        <v>0.67017117356385192</v>
      </c>
      <c r="AQ41" s="549">
        <f t="shared" si="21"/>
        <v>0.58639977686837041</v>
      </c>
    </row>
    <row r="42" spans="1:43" x14ac:dyDescent="0.2">
      <c r="A42" s="550" t="s">
        <v>145</v>
      </c>
      <c r="B42" s="547">
        <f t="shared" ref="B42:AQ42" si="22">IF($B129&gt;=0.9, B$36,B$36*$B129)</f>
        <v>0.40475119585797642</v>
      </c>
      <c r="C42" s="547">
        <f t="shared" si="22"/>
        <v>0.40475119585797642</v>
      </c>
      <c r="D42" s="547">
        <f t="shared" si="22"/>
        <v>0.40475119585797642</v>
      </c>
      <c r="E42" s="547">
        <f t="shared" si="22"/>
        <v>0.40475119585797642</v>
      </c>
      <c r="F42" s="547">
        <f t="shared" si="22"/>
        <v>0.40475119585797642</v>
      </c>
      <c r="G42" s="547">
        <f t="shared" si="22"/>
        <v>0.40475119585797642</v>
      </c>
      <c r="H42" s="547">
        <f t="shared" si="22"/>
        <v>0.46257279526625872</v>
      </c>
      <c r="I42" s="547">
        <f t="shared" si="22"/>
        <v>0.46257279526625872</v>
      </c>
      <c r="J42" s="547">
        <f t="shared" si="22"/>
        <v>0.46257279526625872</v>
      </c>
      <c r="K42" s="547">
        <f t="shared" si="22"/>
        <v>0.52039439467454107</v>
      </c>
      <c r="L42" s="547">
        <f t="shared" si="22"/>
        <v>0.52039439467454107</v>
      </c>
      <c r="M42" s="547">
        <f t="shared" si="22"/>
        <v>0.52039439467454107</v>
      </c>
      <c r="N42" s="547">
        <f t="shared" si="22"/>
        <v>0.57821599408282343</v>
      </c>
      <c r="O42" s="547">
        <f t="shared" si="22"/>
        <v>0.57821599408282343</v>
      </c>
      <c r="P42" s="547">
        <f t="shared" si="22"/>
        <v>0.57821599408282343</v>
      </c>
      <c r="Q42" s="547">
        <f t="shared" si="22"/>
        <v>0.57821599408282343</v>
      </c>
      <c r="R42" s="547">
        <f t="shared" si="22"/>
        <v>0.57821599408282343</v>
      </c>
      <c r="S42" s="547">
        <f t="shared" si="22"/>
        <v>0.57821599408282343</v>
      </c>
      <c r="T42" s="547">
        <f t="shared" si="22"/>
        <v>0.57821599408282343</v>
      </c>
      <c r="U42" s="547">
        <f t="shared" si="22"/>
        <v>0.57821599408282343</v>
      </c>
      <c r="V42" s="547">
        <f t="shared" si="22"/>
        <v>0.57821599408282343</v>
      </c>
      <c r="W42" s="547">
        <f t="shared" si="22"/>
        <v>0.57821599408282343</v>
      </c>
      <c r="X42" s="547">
        <f t="shared" si="22"/>
        <v>0.57821599408282343</v>
      </c>
      <c r="Y42" s="547">
        <f t="shared" si="22"/>
        <v>0.57821599408282343</v>
      </c>
      <c r="Z42" s="547">
        <f t="shared" si="22"/>
        <v>0.57821599408282343</v>
      </c>
      <c r="AA42" s="547">
        <f t="shared" si="22"/>
        <v>0.57821599408282343</v>
      </c>
      <c r="AB42" s="548">
        <f t="shared" si="22"/>
        <v>0.57821599408282343</v>
      </c>
      <c r="AC42" s="549">
        <f t="shared" si="22"/>
        <v>0.40475119585797642</v>
      </c>
      <c r="AD42" s="547">
        <f t="shared" si="22"/>
        <v>0.46257279526625872</v>
      </c>
      <c r="AE42" s="547">
        <f t="shared" si="22"/>
        <v>0.46257279526625872</v>
      </c>
      <c r="AF42" s="547">
        <f t="shared" si="22"/>
        <v>0.46257279526625872</v>
      </c>
      <c r="AG42" s="547">
        <f t="shared" si="22"/>
        <v>0.52039439467454107</v>
      </c>
      <c r="AH42" s="547">
        <f t="shared" si="22"/>
        <v>0.52039439467454107</v>
      </c>
      <c r="AI42" s="547">
        <f t="shared" si="22"/>
        <v>0.52039439467454107</v>
      </c>
      <c r="AJ42" s="547">
        <f t="shared" si="22"/>
        <v>0.57821599408282343</v>
      </c>
      <c r="AK42" s="547">
        <f t="shared" si="22"/>
        <v>0.57821599408282343</v>
      </c>
      <c r="AL42" s="547">
        <f t="shared" si="22"/>
        <v>0.57821599408282343</v>
      </c>
      <c r="AM42" s="547">
        <f t="shared" si="22"/>
        <v>0.46257279526625872</v>
      </c>
      <c r="AN42" s="547">
        <f t="shared" si="22"/>
        <v>0.46257279526625872</v>
      </c>
      <c r="AO42" s="547">
        <f t="shared" si="22"/>
        <v>0.46257279526625872</v>
      </c>
      <c r="AP42" s="548">
        <f t="shared" si="22"/>
        <v>0.46257279526625872</v>
      </c>
      <c r="AQ42" s="549">
        <f t="shared" si="22"/>
        <v>0.40475119585797642</v>
      </c>
    </row>
    <row r="43" spans="1:43" x14ac:dyDescent="0.2">
      <c r="A43" s="551" t="s">
        <v>146</v>
      </c>
      <c r="B43" s="547">
        <f t="shared" ref="B43:AQ43" si="23">IF($B130&gt;=0.9, B$36,B$36*$B130)</f>
        <v>0.50637321430441284</v>
      </c>
      <c r="C43" s="547">
        <f t="shared" si="23"/>
        <v>0.50637321430441284</v>
      </c>
      <c r="D43" s="547">
        <f t="shared" si="23"/>
        <v>0.50637321430441284</v>
      </c>
      <c r="E43" s="547">
        <f t="shared" si="23"/>
        <v>0.50637321430441284</v>
      </c>
      <c r="F43" s="547">
        <f t="shared" si="23"/>
        <v>0.50637321430441284</v>
      </c>
      <c r="G43" s="547">
        <f t="shared" si="23"/>
        <v>0.50637321430441284</v>
      </c>
      <c r="H43" s="547">
        <f t="shared" si="23"/>
        <v>0.57871224491932893</v>
      </c>
      <c r="I43" s="547">
        <f t="shared" si="23"/>
        <v>0.57871224491932893</v>
      </c>
      <c r="J43" s="547">
        <f t="shared" si="23"/>
        <v>0.57871224491932893</v>
      </c>
      <c r="K43" s="547">
        <f t="shared" si="23"/>
        <v>0.65105127553424502</v>
      </c>
      <c r="L43" s="547">
        <f t="shared" si="23"/>
        <v>0.65105127553424502</v>
      </c>
      <c r="M43" s="547">
        <f t="shared" si="23"/>
        <v>0.65105127553424502</v>
      </c>
      <c r="N43" s="547">
        <f t="shared" si="23"/>
        <v>0.72339030614916122</v>
      </c>
      <c r="O43" s="547">
        <f t="shared" si="23"/>
        <v>0.72339030614916122</v>
      </c>
      <c r="P43" s="547">
        <f t="shared" si="23"/>
        <v>0.72339030614916122</v>
      </c>
      <c r="Q43" s="547">
        <f t="shared" si="23"/>
        <v>0.72339030614916122</v>
      </c>
      <c r="R43" s="547">
        <f t="shared" si="23"/>
        <v>0.72339030614916122</v>
      </c>
      <c r="S43" s="547">
        <f t="shared" si="23"/>
        <v>0.72339030614916122</v>
      </c>
      <c r="T43" s="547">
        <f t="shared" si="23"/>
        <v>0.72339030614916122</v>
      </c>
      <c r="U43" s="547">
        <f t="shared" si="23"/>
        <v>0.72339030614916122</v>
      </c>
      <c r="V43" s="547">
        <f t="shared" si="23"/>
        <v>0.72339030614916122</v>
      </c>
      <c r="W43" s="547">
        <f t="shared" si="23"/>
        <v>0.72339030614916122</v>
      </c>
      <c r="X43" s="547">
        <f t="shared" si="23"/>
        <v>0.72339030614916122</v>
      </c>
      <c r="Y43" s="547">
        <f t="shared" si="23"/>
        <v>0.72339030614916122</v>
      </c>
      <c r="Z43" s="547">
        <f t="shared" si="23"/>
        <v>0.72339030614916122</v>
      </c>
      <c r="AA43" s="547">
        <f t="shared" si="23"/>
        <v>0.72339030614916122</v>
      </c>
      <c r="AB43" s="548">
        <f t="shared" si="23"/>
        <v>0.72339030614916122</v>
      </c>
      <c r="AC43" s="549">
        <f t="shared" si="23"/>
        <v>0.50637321430441284</v>
      </c>
      <c r="AD43" s="547">
        <f t="shared" si="23"/>
        <v>0.57871224491932893</v>
      </c>
      <c r="AE43" s="547">
        <f t="shared" si="23"/>
        <v>0.57871224491932893</v>
      </c>
      <c r="AF43" s="547">
        <f t="shared" si="23"/>
        <v>0.57871224491932893</v>
      </c>
      <c r="AG43" s="547">
        <f t="shared" si="23"/>
        <v>0.65105127553424502</v>
      </c>
      <c r="AH43" s="547">
        <f t="shared" si="23"/>
        <v>0.65105127553424502</v>
      </c>
      <c r="AI43" s="547">
        <f t="shared" si="23"/>
        <v>0.65105127553424502</v>
      </c>
      <c r="AJ43" s="547">
        <f t="shared" si="23"/>
        <v>0.72339030614916122</v>
      </c>
      <c r="AK43" s="547">
        <f t="shared" si="23"/>
        <v>0.72339030614916122</v>
      </c>
      <c r="AL43" s="547">
        <f t="shared" si="23"/>
        <v>0.72339030614916122</v>
      </c>
      <c r="AM43" s="547">
        <f t="shared" si="23"/>
        <v>0.57871224491932893</v>
      </c>
      <c r="AN43" s="547">
        <f t="shared" si="23"/>
        <v>0.57871224491932893</v>
      </c>
      <c r="AO43" s="547">
        <f t="shared" si="23"/>
        <v>0.57871224491932893</v>
      </c>
      <c r="AP43" s="548">
        <f t="shared" si="23"/>
        <v>0.57871224491932893</v>
      </c>
      <c r="AQ43" s="549">
        <f t="shared" si="23"/>
        <v>0.50637321430441284</v>
      </c>
    </row>
    <row r="44" spans="1:43" x14ac:dyDescent="0.2">
      <c r="A44" s="550" t="s">
        <v>147</v>
      </c>
      <c r="B44" s="547">
        <f t="shared" ref="B44:AQ44" si="24">IF($B131&gt;=0.9, B$36,B$36*$B131)</f>
        <v>0.28860554725792736</v>
      </c>
      <c r="C44" s="547">
        <f t="shared" si="24"/>
        <v>0.28860554725792736</v>
      </c>
      <c r="D44" s="547">
        <f t="shared" si="24"/>
        <v>0.28860554725792736</v>
      </c>
      <c r="E44" s="547">
        <f t="shared" si="24"/>
        <v>0.28860554725792736</v>
      </c>
      <c r="F44" s="547">
        <f t="shared" si="24"/>
        <v>0.28860554725792736</v>
      </c>
      <c r="G44" s="547">
        <f t="shared" si="24"/>
        <v>0.28860554725792736</v>
      </c>
      <c r="H44" s="547">
        <f t="shared" si="24"/>
        <v>0.32983491115191699</v>
      </c>
      <c r="I44" s="547">
        <f t="shared" si="24"/>
        <v>0.32983491115191699</v>
      </c>
      <c r="J44" s="547">
        <f t="shared" si="24"/>
        <v>0.32983491115191699</v>
      </c>
      <c r="K44" s="547">
        <f t="shared" si="24"/>
        <v>0.37106427504590656</v>
      </c>
      <c r="L44" s="547">
        <f t="shared" si="24"/>
        <v>0.37106427504590656</v>
      </c>
      <c r="M44" s="547">
        <f t="shared" si="24"/>
        <v>0.37106427504590656</v>
      </c>
      <c r="N44" s="547">
        <f t="shared" si="24"/>
        <v>0.41229363893989623</v>
      </c>
      <c r="O44" s="547">
        <f t="shared" si="24"/>
        <v>0.41229363893989623</v>
      </c>
      <c r="P44" s="547">
        <f t="shared" si="24"/>
        <v>0.41229363893989623</v>
      </c>
      <c r="Q44" s="547">
        <f t="shared" si="24"/>
        <v>0.41229363893989623</v>
      </c>
      <c r="R44" s="547">
        <f t="shared" si="24"/>
        <v>0.41229363893989623</v>
      </c>
      <c r="S44" s="547">
        <f t="shared" si="24"/>
        <v>0.41229363893989623</v>
      </c>
      <c r="T44" s="547">
        <f t="shared" si="24"/>
        <v>0.41229363893989623</v>
      </c>
      <c r="U44" s="547">
        <f t="shared" si="24"/>
        <v>0.41229363893989623</v>
      </c>
      <c r="V44" s="547">
        <f t="shared" si="24"/>
        <v>0.41229363893989623</v>
      </c>
      <c r="W44" s="547">
        <f t="shared" si="24"/>
        <v>0.41229363893989623</v>
      </c>
      <c r="X44" s="547">
        <f t="shared" si="24"/>
        <v>0.41229363893989623</v>
      </c>
      <c r="Y44" s="547">
        <f t="shared" si="24"/>
        <v>0.41229363893989623</v>
      </c>
      <c r="Z44" s="547">
        <f t="shared" si="24"/>
        <v>0.41229363893989623</v>
      </c>
      <c r="AA44" s="547">
        <f t="shared" si="24"/>
        <v>0.41229363893989623</v>
      </c>
      <c r="AB44" s="548">
        <f t="shared" si="24"/>
        <v>0.41229363893989623</v>
      </c>
      <c r="AC44" s="549">
        <f t="shared" si="24"/>
        <v>0.28860554725792736</v>
      </c>
      <c r="AD44" s="547">
        <f t="shared" si="24"/>
        <v>0.32983491115191699</v>
      </c>
      <c r="AE44" s="547">
        <f t="shared" si="24"/>
        <v>0.32983491115191699</v>
      </c>
      <c r="AF44" s="547">
        <f t="shared" si="24"/>
        <v>0.32983491115191699</v>
      </c>
      <c r="AG44" s="547">
        <f t="shared" si="24"/>
        <v>0.37106427504590656</v>
      </c>
      <c r="AH44" s="547">
        <f t="shared" si="24"/>
        <v>0.37106427504590656</v>
      </c>
      <c r="AI44" s="547">
        <f t="shared" si="24"/>
        <v>0.37106427504590656</v>
      </c>
      <c r="AJ44" s="547">
        <f t="shared" si="24"/>
        <v>0.41229363893989623</v>
      </c>
      <c r="AK44" s="547">
        <f t="shared" si="24"/>
        <v>0.41229363893989623</v>
      </c>
      <c r="AL44" s="547">
        <f t="shared" si="24"/>
        <v>0.41229363893989623</v>
      </c>
      <c r="AM44" s="547">
        <f t="shared" si="24"/>
        <v>0.32983491115191699</v>
      </c>
      <c r="AN44" s="547">
        <f t="shared" si="24"/>
        <v>0.32983491115191699</v>
      </c>
      <c r="AO44" s="547">
        <f t="shared" si="24"/>
        <v>0.32983491115191699</v>
      </c>
      <c r="AP44" s="548">
        <f t="shared" si="24"/>
        <v>0.32983491115191699</v>
      </c>
      <c r="AQ44" s="549">
        <f t="shared" si="24"/>
        <v>0.28860554725792736</v>
      </c>
    </row>
    <row r="45" spans="1:43" x14ac:dyDescent="0.2">
      <c r="A45" s="550" t="s">
        <v>148</v>
      </c>
      <c r="B45" s="547">
        <f t="shared" ref="B45:AQ45" si="25">IF($B132&gt;=0.9, B$36,B$36*$B132)</f>
        <v>0.96018036346467084</v>
      </c>
      <c r="C45" s="547">
        <f t="shared" si="25"/>
        <v>0.96018036346467084</v>
      </c>
      <c r="D45" s="547">
        <f t="shared" si="25"/>
        <v>0.96018036346467084</v>
      </c>
      <c r="E45" s="547">
        <f t="shared" si="25"/>
        <v>0.96018036346467084</v>
      </c>
      <c r="F45" s="547">
        <f t="shared" si="25"/>
        <v>0.96018036346467084</v>
      </c>
      <c r="G45" s="547">
        <f t="shared" si="25"/>
        <v>0.96018036346467084</v>
      </c>
      <c r="H45" s="547">
        <f t="shared" si="25"/>
        <v>1.0973489868167665</v>
      </c>
      <c r="I45" s="547">
        <f t="shared" si="25"/>
        <v>1.0973489868167665</v>
      </c>
      <c r="J45" s="547">
        <f t="shared" si="25"/>
        <v>1.0973489868167665</v>
      </c>
      <c r="K45" s="547">
        <f t="shared" si="25"/>
        <v>1.2345176101688624</v>
      </c>
      <c r="L45" s="547">
        <f t="shared" si="25"/>
        <v>1.2345176101688624</v>
      </c>
      <c r="M45" s="547">
        <f t="shared" si="25"/>
        <v>1.2345176101688624</v>
      </c>
      <c r="N45" s="547">
        <f t="shared" si="25"/>
        <v>1.3716862335209583</v>
      </c>
      <c r="O45" s="547">
        <f t="shared" si="25"/>
        <v>1.3716862335209583</v>
      </c>
      <c r="P45" s="547">
        <f t="shared" si="25"/>
        <v>1.3716862335209583</v>
      </c>
      <c r="Q45" s="547">
        <f t="shared" si="25"/>
        <v>1.3716862335209583</v>
      </c>
      <c r="R45" s="547">
        <f t="shared" si="25"/>
        <v>1.3716862335209583</v>
      </c>
      <c r="S45" s="547">
        <f t="shared" si="25"/>
        <v>1.3716862335209583</v>
      </c>
      <c r="T45" s="547">
        <f t="shared" si="25"/>
        <v>1.3716862335209583</v>
      </c>
      <c r="U45" s="547">
        <f t="shared" si="25"/>
        <v>1.3716862335209583</v>
      </c>
      <c r="V45" s="547">
        <f t="shared" si="25"/>
        <v>1.3716862335209583</v>
      </c>
      <c r="W45" s="547">
        <f t="shared" si="25"/>
        <v>1.3716862335209583</v>
      </c>
      <c r="X45" s="547">
        <f t="shared" si="25"/>
        <v>1.3716862335209583</v>
      </c>
      <c r="Y45" s="547">
        <f t="shared" si="25"/>
        <v>1.3716862335209583</v>
      </c>
      <c r="Z45" s="547">
        <f t="shared" si="25"/>
        <v>1.3716862335209583</v>
      </c>
      <c r="AA45" s="547">
        <f t="shared" si="25"/>
        <v>1.3716862335209583</v>
      </c>
      <c r="AB45" s="548">
        <f t="shared" si="25"/>
        <v>1.3716862335209583</v>
      </c>
      <c r="AC45" s="549">
        <f t="shared" si="25"/>
        <v>0.96018036346467084</v>
      </c>
      <c r="AD45" s="547">
        <f t="shared" si="25"/>
        <v>1.0973489868167665</v>
      </c>
      <c r="AE45" s="547">
        <f t="shared" si="25"/>
        <v>1.0973489868167665</v>
      </c>
      <c r="AF45" s="547">
        <f t="shared" si="25"/>
        <v>1.0973489868167665</v>
      </c>
      <c r="AG45" s="547">
        <f t="shared" si="25"/>
        <v>1.2345176101688624</v>
      </c>
      <c r="AH45" s="547">
        <f t="shared" si="25"/>
        <v>1.2345176101688624</v>
      </c>
      <c r="AI45" s="547">
        <f t="shared" si="25"/>
        <v>1.2345176101688624</v>
      </c>
      <c r="AJ45" s="547">
        <f t="shared" si="25"/>
        <v>1.3716862335209583</v>
      </c>
      <c r="AK45" s="547">
        <f t="shared" si="25"/>
        <v>1.3716862335209583</v>
      </c>
      <c r="AL45" s="547">
        <f t="shared" si="25"/>
        <v>1.3716862335209583</v>
      </c>
      <c r="AM45" s="547">
        <f t="shared" si="25"/>
        <v>1.0973489868167665</v>
      </c>
      <c r="AN45" s="547">
        <f t="shared" si="25"/>
        <v>1.0973489868167665</v>
      </c>
      <c r="AO45" s="547">
        <f t="shared" si="25"/>
        <v>1.0973489868167665</v>
      </c>
      <c r="AP45" s="548">
        <f t="shared" si="25"/>
        <v>1.0973489868167665</v>
      </c>
      <c r="AQ45" s="549">
        <f t="shared" si="25"/>
        <v>0.96018036346467084</v>
      </c>
    </row>
    <row r="46" spans="1:43" x14ac:dyDescent="0.2">
      <c r="A46" s="550" t="s">
        <v>149</v>
      </c>
      <c r="B46" s="547">
        <f t="shared" ref="B46:AQ46" si="26">IF($B133&gt;=0.9, B$36,B$36*$B133)</f>
        <v>0.37266399936792072</v>
      </c>
      <c r="C46" s="547">
        <f t="shared" si="26"/>
        <v>0.37266399936792072</v>
      </c>
      <c r="D46" s="547">
        <f t="shared" si="26"/>
        <v>0.37266399936792072</v>
      </c>
      <c r="E46" s="547">
        <f t="shared" si="26"/>
        <v>0.37266399936792072</v>
      </c>
      <c r="F46" s="547">
        <f t="shared" si="26"/>
        <v>0.37266399936792072</v>
      </c>
      <c r="G46" s="547">
        <f t="shared" si="26"/>
        <v>0.37266399936792072</v>
      </c>
      <c r="H46" s="547">
        <f t="shared" si="26"/>
        <v>0.42590171356333789</v>
      </c>
      <c r="I46" s="547">
        <f t="shared" si="26"/>
        <v>0.42590171356333789</v>
      </c>
      <c r="J46" s="547">
        <f t="shared" si="26"/>
        <v>0.42590171356333789</v>
      </c>
      <c r="K46" s="547">
        <f t="shared" si="26"/>
        <v>0.47913942775875512</v>
      </c>
      <c r="L46" s="547">
        <f t="shared" si="26"/>
        <v>0.47913942775875512</v>
      </c>
      <c r="M46" s="547">
        <f t="shared" si="26"/>
        <v>0.47913942775875512</v>
      </c>
      <c r="N46" s="547">
        <f t="shared" si="26"/>
        <v>0.53237714195417241</v>
      </c>
      <c r="O46" s="547">
        <f t="shared" si="26"/>
        <v>0.53237714195417241</v>
      </c>
      <c r="P46" s="547">
        <f t="shared" si="26"/>
        <v>0.53237714195417241</v>
      </c>
      <c r="Q46" s="547">
        <f t="shared" si="26"/>
        <v>0.53237714195417241</v>
      </c>
      <c r="R46" s="547">
        <f t="shared" si="26"/>
        <v>0.53237714195417241</v>
      </c>
      <c r="S46" s="547">
        <f t="shared" si="26"/>
        <v>0.53237714195417241</v>
      </c>
      <c r="T46" s="547">
        <f t="shared" si="26"/>
        <v>0.53237714195417241</v>
      </c>
      <c r="U46" s="547">
        <f t="shared" si="26"/>
        <v>0.53237714195417241</v>
      </c>
      <c r="V46" s="547">
        <f t="shared" si="26"/>
        <v>0.53237714195417241</v>
      </c>
      <c r="W46" s="547">
        <f t="shared" si="26"/>
        <v>0.53237714195417241</v>
      </c>
      <c r="X46" s="547">
        <f t="shared" si="26"/>
        <v>0.53237714195417241</v>
      </c>
      <c r="Y46" s="547">
        <f t="shared" si="26"/>
        <v>0.53237714195417241</v>
      </c>
      <c r="Z46" s="547">
        <f t="shared" si="26"/>
        <v>0.53237714195417241</v>
      </c>
      <c r="AA46" s="547">
        <f t="shared" si="26"/>
        <v>0.53237714195417241</v>
      </c>
      <c r="AB46" s="548">
        <f t="shared" si="26"/>
        <v>0.53237714195417241</v>
      </c>
      <c r="AC46" s="549">
        <f t="shared" si="26"/>
        <v>0.37266399936792072</v>
      </c>
      <c r="AD46" s="547">
        <f t="shared" si="26"/>
        <v>0.42590171356333789</v>
      </c>
      <c r="AE46" s="547">
        <f t="shared" si="26"/>
        <v>0.42590171356333789</v>
      </c>
      <c r="AF46" s="547">
        <f t="shared" si="26"/>
        <v>0.42590171356333789</v>
      </c>
      <c r="AG46" s="547">
        <f t="shared" si="26"/>
        <v>0.47913942775875512</v>
      </c>
      <c r="AH46" s="547">
        <f t="shared" si="26"/>
        <v>0.47913942775875512</v>
      </c>
      <c r="AI46" s="547">
        <f t="shared" si="26"/>
        <v>0.47913942775875512</v>
      </c>
      <c r="AJ46" s="547">
        <f t="shared" si="26"/>
        <v>0.53237714195417241</v>
      </c>
      <c r="AK46" s="547">
        <f t="shared" si="26"/>
        <v>0.53237714195417241</v>
      </c>
      <c r="AL46" s="547">
        <f t="shared" si="26"/>
        <v>0.53237714195417241</v>
      </c>
      <c r="AM46" s="547">
        <f t="shared" si="26"/>
        <v>0.42590171356333789</v>
      </c>
      <c r="AN46" s="547">
        <f t="shared" si="26"/>
        <v>0.42590171356333789</v>
      </c>
      <c r="AO46" s="547">
        <f t="shared" si="26"/>
        <v>0.42590171356333789</v>
      </c>
      <c r="AP46" s="548">
        <f t="shared" si="26"/>
        <v>0.42590171356333789</v>
      </c>
      <c r="AQ46" s="549">
        <f t="shared" si="26"/>
        <v>0.37266399936792072</v>
      </c>
    </row>
    <row r="47" spans="1:43" s="17" customFormat="1" x14ac:dyDescent="0.2">
      <c r="A47" s="550" t="s">
        <v>150</v>
      </c>
      <c r="B47" s="547">
        <f>IF(B$13="Deploy",B$36,IF($B134&gt;=0.9, B$36,B$36*$B129))</f>
        <v>0.40475119585797642</v>
      </c>
      <c r="C47" s="547">
        <f t="shared" ref="C47:AQ47" si="27">IF(C$13="Deploy",C$36,IF($B134&gt;=0.9, C$36,C$36*$B129))</f>
        <v>0.40475119585797642</v>
      </c>
      <c r="D47" s="547">
        <f t="shared" si="27"/>
        <v>0.40475119585797642</v>
      </c>
      <c r="E47" s="547">
        <f t="shared" si="27"/>
        <v>0.40475119585797642</v>
      </c>
      <c r="F47" s="547">
        <f t="shared" si="27"/>
        <v>0.40475119585797642</v>
      </c>
      <c r="G47" s="547">
        <f t="shared" si="27"/>
        <v>0.40475119585797642</v>
      </c>
      <c r="H47" s="547">
        <f t="shared" si="27"/>
        <v>0.46257279526625872</v>
      </c>
      <c r="I47" s="547">
        <f t="shared" si="27"/>
        <v>0.46257279526625872</v>
      </c>
      <c r="J47" s="547">
        <f t="shared" si="27"/>
        <v>0.46257279526625872</v>
      </c>
      <c r="K47" s="547">
        <f t="shared" si="27"/>
        <v>0.52039439467454107</v>
      </c>
      <c r="L47" s="547">
        <f t="shared" si="27"/>
        <v>0.52039439467454107</v>
      </c>
      <c r="M47" s="547">
        <f t="shared" si="27"/>
        <v>0.52039439467454107</v>
      </c>
      <c r="N47" s="547">
        <f t="shared" si="27"/>
        <v>0.57821599408282343</v>
      </c>
      <c r="O47" s="547">
        <f t="shared" si="27"/>
        <v>0.57821599408282343</v>
      </c>
      <c r="P47" s="547">
        <f t="shared" si="27"/>
        <v>0.57821599408282343</v>
      </c>
      <c r="Q47" s="547">
        <f t="shared" si="27"/>
        <v>0.57821599408282343</v>
      </c>
      <c r="R47" s="547">
        <f t="shared" si="27"/>
        <v>1.6</v>
      </c>
      <c r="S47" s="547">
        <f t="shared" si="27"/>
        <v>1.6</v>
      </c>
      <c r="T47" s="547">
        <f t="shared" si="27"/>
        <v>1.6</v>
      </c>
      <c r="U47" s="547">
        <f t="shared" si="27"/>
        <v>1.6</v>
      </c>
      <c r="V47" s="547">
        <f t="shared" si="27"/>
        <v>1.6</v>
      </c>
      <c r="W47" s="547">
        <f t="shared" si="27"/>
        <v>1.6</v>
      </c>
      <c r="X47" s="547">
        <f t="shared" si="27"/>
        <v>0.57821599408282343</v>
      </c>
      <c r="Y47" s="547">
        <f t="shared" si="27"/>
        <v>0.57821599408282343</v>
      </c>
      <c r="Z47" s="547">
        <f t="shared" si="27"/>
        <v>0.57821599408282343</v>
      </c>
      <c r="AA47" s="547">
        <f t="shared" si="27"/>
        <v>0.57821599408282343</v>
      </c>
      <c r="AB47" s="548">
        <f t="shared" si="27"/>
        <v>0.57821599408282343</v>
      </c>
      <c r="AC47" s="549">
        <f>AC36</f>
        <v>1.1200000000000001</v>
      </c>
      <c r="AD47" s="547">
        <f t="shared" ref="AD47:AP47" si="28">AD36</f>
        <v>1.28</v>
      </c>
      <c r="AE47" s="547">
        <f t="shared" si="28"/>
        <v>1.28</v>
      </c>
      <c r="AF47" s="547">
        <f t="shared" si="28"/>
        <v>1.28</v>
      </c>
      <c r="AG47" s="547">
        <f t="shared" si="28"/>
        <v>1.44</v>
      </c>
      <c r="AH47" s="547">
        <f t="shared" si="28"/>
        <v>1.44</v>
      </c>
      <c r="AI47" s="547">
        <f t="shared" si="28"/>
        <v>1.44</v>
      </c>
      <c r="AJ47" s="547">
        <f t="shared" si="28"/>
        <v>1.6</v>
      </c>
      <c r="AK47" s="547">
        <f t="shared" si="28"/>
        <v>1.6</v>
      </c>
      <c r="AL47" s="547">
        <f t="shared" si="28"/>
        <v>1.6</v>
      </c>
      <c r="AM47" s="547">
        <f t="shared" si="28"/>
        <v>1.28</v>
      </c>
      <c r="AN47" s="547">
        <f t="shared" si="28"/>
        <v>1.28</v>
      </c>
      <c r="AO47" s="547">
        <f t="shared" si="28"/>
        <v>1.28</v>
      </c>
      <c r="AP47" s="548">
        <f t="shared" si="28"/>
        <v>1.28</v>
      </c>
      <c r="AQ47" s="549">
        <f t="shared" si="27"/>
        <v>0.40475119585797642</v>
      </c>
    </row>
    <row r="48" spans="1:43" s="17" customFormat="1" ht="12.75" x14ac:dyDescent="0.2">
      <c r="A48" s="552" t="s">
        <v>151</v>
      </c>
      <c r="B48" s="547">
        <f t="shared" ref="B48:AQ48" si="29">IF($B135&gt;=0.9, B$36,B$36*$B135)</f>
        <v>1.1200000000000001</v>
      </c>
      <c r="C48" s="547">
        <f t="shared" si="29"/>
        <v>1.1200000000000001</v>
      </c>
      <c r="D48" s="547">
        <f t="shared" si="29"/>
        <v>1.1200000000000001</v>
      </c>
      <c r="E48" s="547">
        <f t="shared" si="29"/>
        <v>1.1200000000000001</v>
      </c>
      <c r="F48" s="547">
        <f t="shared" si="29"/>
        <v>1.1200000000000001</v>
      </c>
      <c r="G48" s="547">
        <f t="shared" si="29"/>
        <v>1.1200000000000001</v>
      </c>
      <c r="H48" s="547">
        <f t="shared" si="29"/>
        <v>1.28</v>
      </c>
      <c r="I48" s="547">
        <f t="shared" si="29"/>
        <v>1.28</v>
      </c>
      <c r="J48" s="547">
        <f t="shared" si="29"/>
        <v>1.28</v>
      </c>
      <c r="K48" s="547">
        <f t="shared" si="29"/>
        <v>1.44</v>
      </c>
      <c r="L48" s="547">
        <f t="shared" si="29"/>
        <v>1.44</v>
      </c>
      <c r="M48" s="547">
        <f t="shared" si="29"/>
        <v>1.44</v>
      </c>
      <c r="N48" s="547">
        <f t="shared" si="29"/>
        <v>1.6</v>
      </c>
      <c r="O48" s="547">
        <f t="shared" si="29"/>
        <v>1.6</v>
      </c>
      <c r="P48" s="547">
        <f t="shared" si="29"/>
        <v>1.6</v>
      </c>
      <c r="Q48" s="547">
        <f t="shared" si="29"/>
        <v>1.6</v>
      </c>
      <c r="R48" s="547">
        <f t="shared" si="29"/>
        <v>1.6</v>
      </c>
      <c r="S48" s="547">
        <f t="shared" si="29"/>
        <v>1.6</v>
      </c>
      <c r="T48" s="547">
        <f t="shared" si="29"/>
        <v>1.6</v>
      </c>
      <c r="U48" s="547">
        <f t="shared" si="29"/>
        <v>1.6</v>
      </c>
      <c r="V48" s="547">
        <f t="shared" si="29"/>
        <v>1.6</v>
      </c>
      <c r="W48" s="547">
        <f t="shared" si="29"/>
        <v>1.6</v>
      </c>
      <c r="X48" s="547">
        <f t="shared" si="29"/>
        <v>1.6</v>
      </c>
      <c r="Y48" s="547">
        <f t="shared" si="29"/>
        <v>1.6</v>
      </c>
      <c r="Z48" s="547">
        <f t="shared" si="29"/>
        <v>1.6</v>
      </c>
      <c r="AA48" s="547">
        <f t="shared" si="29"/>
        <v>1.6</v>
      </c>
      <c r="AB48" s="548">
        <f t="shared" si="29"/>
        <v>1.6</v>
      </c>
      <c r="AC48" s="549">
        <f t="shared" si="29"/>
        <v>1.1200000000000001</v>
      </c>
      <c r="AD48" s="547">
        <f t="shared" si="29"/>
        <v>1.28</v>
      </c>
      <c r="AE48" s="547">
        <f t="shared" si="29"/>
        <v>1.28</v>
      </c>
      <c r="AF48" s="547">
        <f t="shared" si="29"/>
        <v>1.28</v>
      </c>
      <c r="AG48" s="547">
        <f t="shared" si="29"/>
        <v>1.44</v>
      </c>
      <c r="AH48" s="547">
        <f t="shared" si="29"/>
        <v>1.44</v>
      </c>
      <c r="AI48" s="547">
        <f t="shared" si="29"/>
        <v>1.44</v>
      </c>
      <c r="AJ48" s="547">
        <f t="shared" si="29"/>
        <v>1.6</v>
      </c>
      <c r="AK48" s="547">
        <f t="shared" si="29"/>
        <v>1.6</v>
      </c>
      <c r="AL48" s="547">
        <f t="shared" si="29"/>
        <v>1.6</v>
      </c>
      <c r="AM48" s="547">
        <f t="shared" si="29"/>
        <v>1.28</v>
      </c>
      <c r="AN48" s="547">
        <f t="shared" si="29"/>
        <v>1.28</v>
      </c>
      <c r="AO48" s="547">
        <f t="shared" si="29"/>
        <v>1.28</v>
      </c>
      <c r="AP48" s="548">
        <f t="shared" si="29"/>
        <v>1.28</v>
      </c>
      <c r="AQ48" s="549">
        <f t="shared" si="29"/>
        <v>1.1200000000000001</v>
      </c>
    </row>
    <row r="49" spans="1:43" s="17" customFormat="1" x14ac:dyDescent="0.2">
      <c r="A49" s="543" t="s">
        <v>152</v>
      </c>
      <c r="B49" s="538"/>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93"/>
      <c r="AD49" s="30"/>
      <c r="AE49" s="30"/>
      <c r="AF49" s="30"/>
      <c r="AG49" s="30"/>
      <c r="AH49" s="30"/>
      <c r="AI49" s="30"/>
      <c r="AJ49" s="30"/>
      <c r="AK49" s="30"/>
      <c r="AL49" s="30"/>
      <c r="AM49" s="30"/>
      <c r="AN49" s="30"/>
      <c r="AO49" s="30"/>
      <c r="AP49" s="94"/>
      <c r="AQ49" s="554"/>
    </row>
    <row r="50" spans="1:43" s="17" customFormat="1" x14ac:dyDescent="0.2">
      <c r="A50" s="536" t="s">
        <v>153</v>
      </c>
      <c r="B50" s="537">
        <f>ROUND(B51/0.75,2)</f>
        <v>0.28999999999999998</v>
      </c>
      <c r="C50" s="537">
        <f t="shared" ref="C50:Q50" si="30">ROUND(C51/0.75,2)</f>
        <v>0.28999999999999998</v>
      </c>
      <c r="D50" s="537">
        <f t="shared" si="30"/>
        <v>0.28999999999999998</v>
      </c>
      <c r="E50" s="537">
        <f t="shared" si="30"/>
        <v>0.28999999999999998</v>
      </c>
      <c r="F50" s="537">
        <f t="shared" si="30"/>
        <v>0.28999999999999998</v>
      </c>
      <c r="G50" s="537">
        <f t="shared" si="30"/>
        <v>0.28999999999999998</v>
      </c>
      <c r="H50" s="537">
        <f t="shared" si="30"/>
        <v>0.68</v>
      </c>
      <c r="I50" s="537">
        <f t="shared" si="30"/>
        <v>0.68</v>
      </c>
      <c r="J50" s="537">
        <f t="shared" si="30"/>
        <v>0.68</v>
      </c>
      <c r="K50" s="537">
        <f t="shared" si="30"/>
        <v>1.05</v>
      </c>
      <c r="L50" s="537">
        <f t="shared" si="30"/>
        <v>1.05</v>
      </c>
      <c r="M50" s="537">
        <f t="shared" si="30"/>
        <v>1.05</v>
      </c>
      <c r="N50" s="537">
        <f t="shared" si="30"/>
        <v>1.28</v>
      </c>
      <c r="O50" s="537">
        <f t="shared" si="30"/>
        <v>1.28</v>
      </c>
      <c r="P50" s="537">
        <f t="shared" si="30"/>
        <v>1.28</v>
      </c>
      <c r="Q50" s="537">
        <f t="shared" si="30"/>
        <v>1.28</v>
      </c>
      <c r="R50" s="69">
        <v>2</v>
      </c>
      <c r="S50" s="69">
        <v>2</v>
      </c>
      <c r="T50" s="69">
        <v>2</v>
      </c>
      <c r="U50" s="69">
        <v>2</v>
      </c>
      <c r="V50" s="69">
        <v>2</v>
      </c>
      <c r="W50" s="69">
        <v>2</v>
      </c>
      <c r="X50" s="537">
        <f t="shared" ref="X50:AB50" si="31">ROUND(X51/0.75,2)</f>
        <v>1.28</v>
      </c>
      <c r="Y50" s="537">
        <f t="shared" si="31"/>
        <v>1.28</v>
      </c>
      <c r="Z50" s="537">
        <f t="shared" si="31"/>
        <v>1.28</v>
      </c>
      <c r="AA50" s="537">
        <f t="shared" si="31"/>
        <v>1.28</v>
      </c>
      <c r="AB50" s="538">
        <f t="shared" si="31"/>
        <v>1.28</v>
      </c>
      <c r="AC50" s="96">
        <v>2</v>
      </c>
      <c r="AD50" s="555">
        <v>2</v>
      </c>
      <c r="AE50" s="555">
        <v>2</v>
      </c>
      <c r="AF50" s="555">
        <v>2</v>
      </c>
      <c r="AG50" s="555">
        <v>2</v>
      </c>
      <c r="AH50" s="555">
        <v>2</v>
      </c>
      <c r="AI50" s="555">
        <v>2</v>
      </c>
      <c r="AJ50" s="555">
        <v>2</v>
      </c>
      <c r="AK50" s="555">
        <v>2</v>
      </c>
      <c r="AL50" s="555">
        <v>2</v>
      </c>
      <c r="AM50" s="555">
        <v>2</v>
      </c>
      <c r="AN50" s="555">
        <v>2</v>
      </c>
      <c r="AO50" s="555">
        <v>2</v>
      </c>
      <c r="AP50" s="556">
        <v>2</v>
      </c>
      <c r="AQ50" s="118">
        <f t="shared" ref="AQ50" si="32">ROUND(AQ51/0.75,2)</f>
        <v>0.28999999999999998</v>
      </c>
    </row>
    <row r="51" spans="1:43" s="17" customFormat="1" x14ac:dyDescent="0.2">
      <c r="A51" s="536" t="s">
        <v>154</v>
      </c>
      <c r="B51" s="537">
        <f t="shared" ref="B51:Q51" si="33">ROUND(IF(B$36*VLOOKUP(B$13,$L$3:$O$8,4,FALSE)&lt;0.01,0.01,B$36*VLOOKUP(B$13,$L$3:$O$8,4,FALSE)),2)</f>
        <v>0.22</v>
      </c>
      <c r="C51" s="537">
        <f t="shared" si="33"/>
        <v>0.22</v>
      </c>
      <c r="D51" s="537">
        <f t="shared" si="33"/>
        <v>0.22</v>
      </c>
      <c r="E51" s="537">
        <f t="shared" si="33"/>
        <v>0.22</v>
      </c>
      <c r="F51" s="537">
        <f t="shared" si="33"/>
        <v>0.22</v>
      </c>
      <c r="G51" s="537">
        <f t="shared" si="33"/>
        <v>0.22</v>
      </c>
      <c r="H51" s="537">
        <f t="shared" si="33"/>
        <v>0.51</v>
      </c>
      <c r="I51" s="537">
        <f t="shared" si="33"/>
        <v>0.51</v>
      </c>
      <c r="J51" s="537">
        <f t="shared" si="33"/>
        <v>0.51</v>
      </c>
      <c r="K51" s="537">
        <f t="shared" si="33"/>
        <v>0.79</v>
      </c>
      <c r="L51" s="537">
        <f t="shared" si="33"/>
        <v>0.79</v>
      </c>
      <c r="M51" s="537">
        <f t="shared" si="33"/>
        <v>0.79</v>
      </c>
      <c r="N51" s="537">
        <f t="shared" si="33"/>
        <v>0.96</v>
      </c>
      <c r="O51" s="537">
        <f t="shared" si="33"/>
        <v>0.96</v>
      </c>
      <c r="P51" s="537">
        <f t="shared" si="33"/>
        <v>0.96</v>
      </c>
      <c r="Q51" s="537">
        <f t="shared" si="33"/>
        <v>0.96</v>
      </c>
      <c r="R51" s="555">
        <f t="shared" ref="R51:W51" si="34">R50*0.75</f>
        <v>1.5</v>
      </c>
      <c r="S51" s="555">
        <f t="shared" si="34"/>
        <v>1.5</v>
      </c>
      <c r="T51" s="555">
        <f t="shared" si="34"/>
        <v>1.5</v>
      </c>
      <c r="U51" s="555">
        <f t="shared" si="34"/>
        <v>1.5</v>
      </c>
      <c r="V51" s="555">
        <f t="shared" si="34"/>
        <v>1.5</v>
      </c>
      <c r="W51" s="555">
        <f t="shared" si="34"/>
        <v>1.5</v>
      </c>
      <c r="X51" s="537">
        <f>ROUND(IF(X$36*VLOOKUP(X$13,$L$3:$O$8,4,FALSE)&lt;0.01,0.01,X$36*VLOOKUP(X$13,$L$3:$O$8,4,FALSE)),2)</f>
        <v>0.96</v>
      </c>
      <c r="Y51" s="537">
        <f>ROUND(IF(Y$36*VLOOKUP(Y$13,$L$3:$O$8,4,FALSE)&lt;0.01,0.01,Y$36*VLOOKUP(Y$13,$L$3:$O$8,4,FALSE)),2)</f>
        <v>0.96</v>
      </c>
      <c r="Z51" s="537">
        <f>ROUND(IF(Z$36*VLOOKUP(Z$13,$L$3:$O$8,4,FALSE)&lt;0.01,0.01,Z$36*VLOOKUP(Z$13,$L$3:$O$8,4,FALSE)),2)</f>
        <v>0.96</v>
      </c>
      <c r="AA51" s="537">
        <f>ROUND(IF(AA$36*VLOOKUP(AA$13,$L$3:$O$8,4,FALSE)&lt;0.01,0.01,AA$36*VLOOKUP(AA$13,$L$3:$O$8,4,FALSE)),2)</f>
        <v>0.96</v>
      </c>
      <c r="AB51" s="538">
        <f>ROUND(IF(AB$36*VLOOKUP(AB$13,$L$3:$O$8,4,FALSE)&lt;0.01,0.01,AB$36*VLOOKUP(AB$13,$L$3:$O$8,4,FALSE)),2)</f>
        <v>0.96</v>
      </c>
      <c r="AC51" s="95">
        <f>ROUND(IF(AC$36*$O$8&lt;0.01,0.01,AC$36*$O$8),2)</f>
        <v>0.84</v>
      </c>
      <c r="AD51" s="537">
        <f>ROUND(IF(AD$36*$O$8&lt;0.01,0.01,AD$36*$O$8),2)</f>
        <v>0.96</v>
      </c>
      <c r="AE51" s="537">
        <f>ROUND(IF(AE$36*$O$8&lt;0.01,0.01,AE$36*$O$8),2)</f>
        <v>0.96</v>
      </c>
      <c r="AF51" s="537">
        <f>ROUND(IF(AF$36*$O$8&lt;0.01,0.01,AF$36*$O$8),2)</f>
        <v>0.96</v>
      </c>
      <c r="AG51" s="555">
        <f t="shared" ref="AG51:AP51" si="35">AG50*0.75</f>
        <v>1.5</v>
      </c>
      <c r="AH51" s="555">
        <f t="shared" si="35"/>
        <v>1.5</v>
      </c>
      <c r="AI51" s="555">
        <f t="shared" si="35"/>
        <v>1.5</v>
      </c>
      <c r="AJ51" s="555">
        <f t="shared" si="35"/>
        <v>1.5</v>
      </c>
      <c r="AK51" s="555">
        <f t="shared" si="35"/>
        <v>1.5</v>
      </c>
      <c r="AL51" s="555">
        <f t="shared" si="35"/>
        <v>1.5</v>
      </c>
      <c r="AM51" s="555">
        <f t="shared" si="35"/>
        <v>1.5</v>
      </c>
      <c r="AN51" s="555">
        <f t="shared" si="35"/>
        <v>1.5</v>
      </c>
      <c r="AO51" s="555">
        <f t="shared" si="35"/>
        <v>1.5</v>
      </c>
      <c r="AP51" s="556">
        <f t="shared" si="35"/>
        <v>1.5</v>
      </c>
      <c r="AQ51" s="118">
        <f>ROUND(IF(AQ$36*$O$3&lt;0.01,0.01,AQ$36*$O$3),2)</f>
        <v>0.22</v>
      </c>
    </row>
    <row r="52" spans="1:43" s="17" customFormat="1" ht="12.75" x14ac:dyDescent="0.2">
      <c r="A52" s="528" t="s">
        <v>155</v>
      </c>
      <c r="B52" s="557"/>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97"/>
      <c r="AD52" s="559"/>
      <c r="AE52" s="559"/>
      <c r="AF52" s="559"/>
      <c r="AG52" s="559"/>
      <c r="AH52" s="559"/>
      <c r="AI52" s="559"/>
      <c r="AJ52" s="559"/>
      <c r="AK52" s="559"/>
      <c r="AL52" s="559"/>
      <c r="AM52" s="559"/>
      <c r="AN52" s="559"/>
      <c r="AO52" s="559"/>
      <c r="AP52" s="560"/>
      <c r="AQ52" s="531"/>
    </row>
    <row r="53" spans="1:43" x14ac:dyDescent="0.2">
      <c r="A53" s="507" t="str">
        <f t="shared" ref="A53:A60" si="36">A86</f>
        <v>Pilot Upper Limit</v>
      </c>
      <c r="B53" s="319">
        <f t="shared" ref="B53:AQ53" si="37">$B$86</f>
        <v>6</v>
      </c>
      <c r="C53" s="319">
        <f t="shared" si="37"/>
        <v>6</v>
      </c>
      <c r="D53" s="319">
        <f t="shared" si="37"/>
        <v>6</v>
      </c>
      <c r="E53" s="319">
        <f t="shared" si="37"/>
        <v>6</v>
      </c>
      <c r="F53" s="319">
        <f t="shared" si="37"/>
        <v>6</v>
      </c>
      <c r="G53" s="319">
        <f t="shared" si="37"/>
        <v>6</v>
      </c>
      <c r="H53" s="319">
        <f t="shared" si="37"/>
        <v>6</v>
      </c>
      <c r="I53" s="319">
        <f t="shared" si="37"/>
        <v>6</v>
      </c>
      <c r="J53" s="319">
        <f t="shared" si="37"/>
        <v>6</v>
      </c>
      <c r="K53" s="319">
        <f t="shared" si="37"/>
        <v>6</v>
      </c>
      <c r="L53" s="319">
        <f t="shared" si="37"/>
        <v>6</v>
      </c>
      <c r="M53" s="319">
        <f t="shared" si="37"/>
        <v>6</v>
      </c>
      <c r="N53" s="319">
        <f t="shared" si="37"/>
        <v>6</v>
      </c>
      <c r="O53" s="319">
        <f t="shared" si="37"/>
        <v>6</v>
      </c>
      <c r="P53" s="319">
        <f t="shared" si="37"/>
        <v>6</v>
      </c>
      <c r="Q53" s="319">
        <f t="shared" si="37"/>
        <v>6</v>
      </c>
      <c r="R53" s="319">
        <f t="shared" si="37"/>
        <v>6</v>
      </c>
      <c r="S53" s="319">
        <f t="shared" si="37"/>
        <v>6</v>
      </c>
      <c r="T53" s="319">
        <f t="shared" si="37"/>
        <v>6</v>
      </c>
      <c r="U53" s="319">
        <f t="shared" si="37"/>
        <v>6</v>
      </c>
      <c r="V53" s="319">
        <f t="shared" si="37"/>
        <v>6</v>
      </c>
      <c r="W53" s="319">
        <f t="shared" si="37"/>
        <v>6</v>
      </c>
      <c r="X53" s="319">
        <f t="shared" si="37"/>
        <v>6</v>
      </c>
      <c r="Y53" s="319">
        <f t="shared" si="37"/>
        <v>6</v>
      </c>
      <c r="Z53" s="319">
        <f t="shared" si="37"/>
        <v>6</v>
      </c>
      <c r="AA53" s="319">
        <f t="shared" si="37"/>
        <v>6</v>
      </c>
      <c r="AB53" s="320">
        <f t="shared" si="37"/>
        <v>6</v>
      </c>
      <c r="AC53" s="321">
        <f t="shared" si="37"/>
        <v>6</v>
      </c>
      <c r="AD53" s="319">
        <f t="shared" si="37"/>
        <v>6</v>
      </c>
      <c r="AE53" s="319">
        <f t="shared" si="37"/>
        <v>6</v>
      </c>
      <c r="AF53" s="319">
        <f t="shared" si="37"/>
        <v>6</v>
      </c>
      <c r="AG53" s="319">
        <f t="shared" si="37"/>
        <v>6</v>
      </c>
      <c r="AH53" s="319">
        <f t="shared" si="37"/>
        <v>6</v>
      </c>
      <c r="AI53" s="319">
        <f t="shared" si="37"/>
        <v>6</v>
      </c>
      <c r="AJ53" s="319">
        <f t="shared" si="37"/>
        <v>6</v>
      </c>
      <c r="AK53" s="319">
        <f t="shared" si="37"/>
        <v>6</v>
      </c>
      <c r="AL53" s="319">
        <f t="shared" si="37"/>
        <v>6</v>
      </c>
      <c r="AM53" s="319">
        <f t="shared" si="37"/>
        <v>6</v>
      </c>
      <c r="AN53" s="319">
        <f t="shared" si="37"/>
        <v>6</v>
      </c>
      <c r="AO53" s="319">
        <f t="shared" si="37"/>
        <v>6</v>
      </c>
      <c r="AP53" s="322">
        <f t="shared" si="37"/>
        <v>6</v>
      </c>
      <c r="AQ53" s="119">
        <f t="shared" si="37"/>
        <v>6</v>
      </c>
    </row>
    <row r="54" spans="1:43" x14ac:dyDescent="0.2">
      <c r="A54" s="562" t="str">
        <f t="shared" si="36"/>
        <v>Pilot Lower Limit</v>
      </c>
      <c r="B54" s="563">
        <f t="shared" ref="B54:AQ54" si="38">ROUND(IF(B$13="Deploy",MAX((B$80/100)*$B87,$B87),(B$80/100)*$B87),0)</f>
        <v>2</v>
      </c>
      <c r="C54" s="563">
        <f t="shared" si="38"/>
        <v>2</v>
      </c>
      <c r="D54" s="563">
        <f t="shared" si="38"/>
        <v>2</v>
      </c>
      <c r="E54" s="563">
        <f t="shared" si="38"/>
        <v>2</v>
      </c>
      <c r="F54" s="563">
        <f t="shared" si="38"/>
        <v>2</v>
      </c>
      <c r="G54" s="563">
        <f t="shared" si="38"/>
        <v>2</v>
      </c>
      <c r="H54" s="563">
        <f t="shared" si="38"/>
        <v>3</v>
      </c>
      <c r="I54" s="563">
        <f t="shared" si="38"/>
        <v>3</v>
      </c>
      <c r="J54" s="563">
        <f t="shared" si="38"/>
        <v>4</v>
      </c>
      <c r="K54" s="563">
        <f t="shared" si="38"/>
        <v>4</v>
      </c>
      <c r="L54" s="563">
        <f t="shared" si="38"/>
        <v>5</v>
      </c>
      <c r="M54" s="563">
        <f t="shared" si="38"/>
        <v>5</v>
      </c>
      <c r="N54" s="563">
        <f t="shared" si="38"/>
        <v>5</v>
      </c>
      <c r="O54" s="563">
        <f t="shared" si="38"/>
        <v>5</v>
      </c>
      <c r="P54" s="563">
        <f t="shared" si="38"/>
        <v>5</v>
      </c>
      <c r="Q54" s="563">
        <f t="shared" si="38"/>
        <v>5</v>
      </c>
      <c r="R54" s="563">
        <f t="shared" si="38"/>
        <v>6</v>
      </c>
      <c r="S54" s="563">
        <f t="shared" si="38"/>
        <v>6</v>
      </c>
      <c r="T54" s="563">
        <f t="shared" si="38"/>
        <v>6</v>
      </c>
      <c r="U54" s="563">
        <f t="shared" si="38"/>
        <v>6</v>
      </c>
      <c r="V54" s="563">
        <f t="shared" si="38"/>
        <v>6</v>
      </c>
      <c r="W54" s="563">
        <f t="shared" si="38"/>
        <v>6</v>
      </c>
      <c r="X54" s="563">
        <f t="shared" si="38"/>
        <v>6</v>
      </c>
      <c r="Y54" s="563">
        <f t="shared" si="38"/>
        <v>5</v>
      </c>
      <c r="Z54" s="563">
        <f t="shared" si="38"/>
        <v>5</v>
      </c>
      <c r="AA54" s="563">
        <f t="shared" si="38"/>
        <v>5</v>
      </c>
      <c r="AB54" s="564">
        <f t="shared" si="38"/>
        <v>5</v>
      </c>
      <c r="AC54" s="100">
        <f t="shared" si="38"/>
        <v>2</v>
      </c>
      <c r="AD54" s="563">
        <f t="shared" si="38"/>
        <v>3</v>
      </c>
      <c r="AE54" s="563">
        <f t="shared" si="38"/>
        <v>3</v>
      </c>
      <c r="AF54" s="563">
        <f t="shared" si="38"/>
        <v>4</v>
      </c>
      <c r="AG54" s="563">
        <f t="shared" si="38"/>
        <v>4</v>
      </c>
      <c r="AH54" s="563">
        <f t="shared" si="38"/>
        <v>5</v>
      </c>
      <c r="AI54" s="563">
        <f t="shared" si="38"/>
        <v>5</v>
      </c>
      <c r="AJ54" s="563">
        <f t="shared" si="38"/>
        <v>5</v>
      </c>
      <c r="AK54" s="563">
        <f t="shared" si="38"/>
        <v>5</v>
      </c>
      <c r="AL54" s="563">
        <f t="shared" si="38"/>
        <v>5</v>
      </c>
      <c r="AM54" s="563">
        <f t="shared" si="38"/>
        <v>5</v>
      </c>
      <c r="AN54" s="563">
        <f t="shared" si="38"/>
        <v>5</v>
      </c>
      <c r="AO54" s="563">
        <f t="shared" si="38"/>
        <v>5</v>
      </c>
      <c r="AP54" s="565">
        <f t="shared" si="38"/>
        <v>5</v>
      </c>
      <c r="AQ54" s="120">
        <f t="shared" si="38"/>
        <v>2</v>
      </c>
    </row>
    <row r="55" spans="1:43" x14ac:dyDescent="0.2">
      <c r="A55" s="507" t="str">
        <f t="shared" si="36"/>
        <v>Aircrew Upper Limit</v>
      </c>
      <c r="B55" s="567">
        <f t="shared" ref="B55:AQ55" si="39">$B$88</f>
        <v>3</v>
      </c>
      <c r="C55" s="567">
        <f t="shared" si="39"/>
        <v>3</v>
      </c>
      <c r="D55" s="567">
        <f t="shared" si="39"/>
        <v>3</v>
      </c>
      <c r="E55" s="567">
        <f t="shared" si="39"/>
        <v>3</v>
      </c>
      <c r="F55" s="567">
        <f t="shared" si="39"/>
        <v>3</v>
      </c>
      <c r="G55" s="567">
        <f t="shared" si="39"/>
        <v>3</v>
      </c>
      <c r="H55" s="567">
        <f t="shared" si="39"/>
        <v>3</v>
      </c>
      <c r="I55" s="567">
        <f t="shared" si="39"/>
        <v>3</v>
      </c>
      <c r="J55" s="567">
        <f t="shared" si="39"/>
        <v>3</v>
      </c>
      <c r="K55" s="567">
        <f t="shared" si="39"/>
        <v>3</v>
      </c>
      <c r="L55" s="567">
        <f t="shared" si="39"/>
        <v>3</v>
      </c>
      <c r="M55" s="567">
        <f t="shared" si="39"/>
        <v>3</v>
      </c>
      <c r="N55" s="567">
        <f t="shared" si="39"/>
        <v>3</v>
      </c>
      <c r="O55" s="567">
        <f t="shared" si="39"/>
        <v>3</v>
      </c>
      <c r="P55" s="567">
        <f t="shared" si="39"/>
        <v>3</v>
      </c>
      <c r="Q55" s="567">
        <f t="shared" si="39"/>
        <v>3</v>
      </c>
      <c r="R55" s="567">
        <f t="shared" si="39"/>
        <v>3</v>
      </c>
      <c r="S55" s="567">
        <f t="shared" si="39"/>
        <v>3</v>
      </c>
      <c r="T55" s="567">
        <f t="shared" si="39"/>
        <v>3</v>
      </c>
      <c r="U55" s="567">
        <f t="shared" si="39"/>
        <v>3</v>
      </c>
      <c r="V55" s="567">
        <f t="shared" si="39"/>
        <v>3</v>
      </c>
      <c r="W55" s="567">
        <f t="shared" si="39"/>
        <v>3</v>
      </c>
      <c r="X55" s="567">
        <f t="shared" si="39"/>
        <v>3</v>
      </c>
      <c r="Y55" s="567">
        <f t="shared" si="39"/>
        <v>3</v>
      </c>
      <c r="Z55" s="567">
        <f t="shared" si="39"/>
        <v>3</v>
      </c>
      <c r="AA55" s="567">
        <f t="shared" si="39"/>
        <v>3</v>
      </c>
      <c r="AB55" s="568">
        <f t="shared" si="39"/>
        <v>3</v>
      </c>
      <c r="AC55" s="101">
        <f t="shared" si="39"/>
        <v>3</v>
      </c>
      <c r="AD55" s="567">
        <f t="shared" si="39"/>
        <v>3</v>
      </c>
      <c r="AE55" s="567">
        <f t="shared" si="39"/>
        <v>3</v>
      </c>
      <c r="AF55" s="567">
        <f t="shared" si="39"/>
        <v>3</v>
      </c>
      <c r="AG55" s="567">
        <f t="shared" si="39"/>
        <v>3</v>
      </c>
      <c r="AH55" s="567">
        <f t="shared" si="39"/>
        <v>3</v>
      </c>
      <c r="AI55" s="567">
        <f t="shared" si="39"/>
        <v>3</v>
      </c>
      <c r="AJ55" s="567">
        <f t="shared" si="39"/>
        <v>3</v>
      </c>
      <c r="AK55" s="567">
        <f t="shared" si="39"/>
        <v>3</v>
      </c>
      <c r="AL55" s="567">
        <f t="shared" si="39"/>
        <v>3</v>
      </c>
      <c r="AM55" s="567">
        <f t="shared" si="39"/>
        <v>3</v>
      </c>
      <c r="AN55" s="567">
        <f t="shared" si="39"/>
        <v>3</v>
      </c>
      <c r="AO55" s="567">
        <f t="shared" si="39"/>
        <v>3</v>
      </c>
      <c r="AP55" s="569">
        <f t="shared" si="39"/>
        <v>3</v>
      </c>
      <c r="AQ55" s="121">
        <f t="shared" si="39"/>
        <v>3</v>
      </c>
    </row>
    <row r="56" spans="1:43" x14ac:dyDescent="0.2">
      <c r="A56" s="562" t="str">
        <f t="shared" si="36"/>
        <v>Aircrew Lower Limit</v>
      </c>
      <c r="B56" s="563">
        <f t="shared" ref="B56:AQ56" si="40">ROUND(IF(B$13="Deploy",MAX((B$80/100)*$B89,$B89),(B$80/100)*$B89),0)</f>
        <v>1</v>
      </c>
      <c r="C56" s="563">
        <f t="shared" si="40"/>
        <v>1</v>
      </c>
      <c r="D56" s="563">
        <f t="shared" si="40"/>
        <v>1</v>
      </c>
      <c r="E56" s="563">
        <f t="shared" si="40"/>
        <v>1</v>
      </c>
      <c r="F56" s="563">
        <f t="shared" si="40"/>
        <v>1</v>
      </c>
      <c r="G56" s="563">
        <f t="shared" si="40"/>
        <v>1</v>
      </c>
      <c r="H56" s="563">
        <f t="shared" si="40"/>
        <v>1</v>
      </c>
      <c r="I56" s="563">
        <f t="shared" si="40"/>
        <v>2</v>
      </c>
      <c r="J56" s="563">
        <f t="shared" si="40"/>
        <v>2</v>
      </c>
      <c r="K56" s="563">
        <f t="shared" si="40"/>
        <v>2</v>
      </c>
      <c r="L56" s="563">
        <f t="shared" si="40"/>
        <v>2</v>
      </c>
      <c r="M56" s="563">
        <f t="shared" si="40"/>
        <v>3</v>
      </c>
      <c r="N56" s="563">
        <f t="shared" si="40"/>
        <v>3</v>
      </c>
      <c r="O56" s="563">
        <f t="shared" si="40"/>
        <v>3</v>
      </c>
      <c r="P56" s="563">
        <f t="shared" si="40"/>
        <v>3</v>
      </c>
      <c r="Q56" s="563">
        <f t="shared" si="40"/>
        <v>3</v>
      </c>
      <c r="R56" s="563">
        <f t="shared" si="40"/>
        <v>3</v>
      </c>
      <c r="S56" s="563">
        <f t="shared" si="40"/>
        <v>3</v>
      </c>
      <c r="T56" s="563">
        <f t="shared" si="40"/>
        <v>3</v>
      </c>
      <c r="U56" s="563">
        <f t="shared" si="40"/>
        <v>3</v>
      </c>
      <c r="V56" s="563">
        <f t="shared" si="40"/>
        <v>3</v>
      </c>
      <c r="W56" s="563">
        <f t="shared" si="40"/>
        <v>3</v>
      </c>
      <c r="X56" s="563">
        <f t="shared" si="40"/>
        <v>3</v>
      </c>
      <c r="Y56" s="563">
        <f t="shared" si="40"/>
        <v>3</v>
      </c>
      <c r="Z56" s="563">
        <f t="shared" si="40"/>
        <v>3</v>
      </c>
      <c r="AA56" s="563">
        <f t="shared" si="40"/>
        <v>3</v>
      </c>
      <c r="AB56" s="564">
        <f t="shared" si="40"/>
        <v>2</v>
      </c>
      <c r="AC56" s="100">
        <f t="shared" si="40"/>
        <v>1</v>
      </c>
      <c r="AD56" s="563">
        <f t="shared" si="40"/>
        <v>1</v>
      </c>
      <c r="AE56" s="563">
        <f t="shared" si="40"/>
        <v>2</v>
      </c>
      <c r="AF56" s="563">
        <f t="shared" si="40"/>
        <v>2</v>
      </c>
      <c r="AG56" s="563">
        <f t="shared" si="40"/>
        <v>2</v>
      </c>
      <c r="AH56" s="563">
        <f t="shared" si="40"/>
        <v>2</v>
      </c>
      <c r="AI56" s="563">
        <f t="shared" si="40"/>
        <v>3</v>
      </c>
      <c r="AJ56" s="563">
        <f t="shared" si="40"/>
        <v>3</v>
      </c>
      <c r="AK56" s="563">
        <f t="shared" si="40"/>
        <v>3</v>
      </c>
      <c r="AL56" s="563">
        <f t="shared" si="40"/>
        <v>3</v>
      </c>
      <c r="AM56" s="563">
        <f t="shared" si="40"/>
        <v>3</v>
      </c>
      <c r="AN56" s="563">
        <f t="shared" si="40"/>
        <v>3</v>
      </c>
      <c r="AO56" s="563">
        <f t="shared" si="40"/>
        <v>3</v>
      </c>
      <c r="AP56" s="565">
        <f t="shared" si="40"/>
        <v>2</v>
      </c>
      <c r="AQ56" s="120">
        <f t="shared" si="40"/>
        <v>1</v>
      </c>
    </row>
    <row r="57" spans="1:43" x14ac:dyDescent="0.2">
      <c r="A57" s="562" t="str">
        <f t="shared" si="36"/>
        <v>&gt; L4 Pilots</v>
      </c>
      <c r="B57" s="563">
        <f t="shared" ref="B57:AQ57" si="41">ROUND(IF(B$13="Deploy",MAX((B$80/100)*$B90,$B90),(B$80/100)*$B90),0)</f>
        <v>0</v>
      </c>
      <c r="C57" s="563">
        <f t="shared" si="41"/>
        <v>0</v>
      </c>
      <c r="D57" s="563">
        <f t="shared" si="41"/>
        <v>0</v>
      </c>
      <c r="E57" s="563">
        <f t="shared" si="41"/>
        <v>0</v>
      </c>
      <c r="F57" s="563">
        <f t="shared" si="41"/>
        <v>0</v>
      </c>
      <c r="G57" s="563">
        <f t="shared" si="41"/>
        <v>0</v>
      </c>
      <c r="H57" s="563">
        <f t="shared" si="41"/>
        <v>0</v>
      </c>
      <c r="I57" s="563">
        <f t="shared" si="41"/>
        <v>1</v>
      </c>
      <c r="J57" s="563">
        <f t="shared" si="41"/>
        <v>1</v>
      </c>
      <c r="K57" s="563">
        <f t="shared" si="41"/>
        <v>1</v>
      </c>
      <c r="L57" s="563">
        <f t="shared" si="41"/>
        <v>1</v>
      </c>
      <c r="M57" s="563">
        <f t="shared" si="41"/>
        <v>1</v>
      </c>
      <c r="N57" s="563">
        <f t="shared" si="41"/>
        <v>1</v>
      </c>
      <c r="O57" s="563">
        <f t="shared" si="41"/>
        <v>1</v>
      </c>
      <c r="P57" s="563">
        <f t="shared" si="41"/>
        <v>1</v>
      </c>
      <c r="Q57" s="563">
        <f t="shared" si="41"/>
        <v>1</v>
      </c>
      <c r="R57" s="563">
        <f t="shared" si="41"/>
        <v>1</v>
      </c>
      <c r="S57" s="563">
        <f t="shared" si="41"/>
        <v>1</v>
      </c>
      <c r="T57" s="563">
        <f t="shared" si="41"/>
        <v>1</v>
      </c>
      <c r="U57" s="563">
        <f t="shared" si="41"/>
        <v>1</v>
      </c>
      <c r="V57" s="563">
        <f t="shared" si="41"/>
        <v>1</v>
      </c>
      <c r="W57" s="563">
        <f t="shared" si="41"/>
        <v>1</v>
      </c>
      <c r="X57" s="563">
        <f t="shared" si="41"/>
        <v>1</v>
      </c>
      <c r="Y57" s="563">
        <f t="shared" si="41"/>
        <v>1</v>
      </c>
      <c r="Z57" s="563">
        <f t="shared" si="41"/>
        <v>1</v>
      </c>
      <c r="AA57" s="563">
        <f t="shared" si="41"/>
        <v>1</v>
      </c>
      <c r="AB57" s="564">
        <f t="shared" si="41"/>
        <v>1</v>
      </c>
      <c r="AC57" s="100">
        <f t="shared" si="41"/>
        <v>0</v>
      </c>
      <c r="AD57" s="563">
        <f t="shared" si="41"/>
        <v>0</v>
      </c>
      <c r="AE57" s="563">
        <f t="shared" si="41"/>
        <v>1</v>
      </c>
      <c r="AF57" s="563">
        <f t="shared" si="41"/>
        <v>1</v>
      </c>
      <c r="AG57" s="563">
        <f t="shared" si="41"/>
        <v>1</v>
      </c>
      <c r="AH57" s="563">
        <f t="shared" si="41"/>
        <v>1</v>
      </c>
      <c r="AI57" s="563">
        <f t="shared" si="41"/>
        <v>1</v>
      </c>
      <c r="AJ57" s="563">
        <f t="shared" si="41"/>
        <v>1</v>
      </c>
      <c r="AK57" s="563">
        <f t="shared" si="41"/>
        <v>1</v>
      </c>
      <c r="AL57" s="563">
        <f t="shared" si="41"/>
        <v>1</v>
      </c>
      <c r="AM57" s="563">
        <f t="shared" si="41"/>
        <v>1</v>
      </c>
      <c r="AN57" s="563">
        <f t="shared" si="41"/>
        <v>1</v>
      </c>
      <c r="AO57" s="563">
        <f t="shared" si="41"/>
        <v>1</v>
      </c>
      <c r="AP57" s="565">
        <f t="shared" si="41"/>
        <v>1</v>
      </c>
      <c r="AQ57" s="563">
        <f t="shared" si="41"/>
        <v>0</v>
      </c>
    </row>
    <row r="58" spans="1:43" s="21" customFormat="1" x14ac:dyDescent="0.2">
      <c r="A58" s="562" t="str">
        <f t="shared" si="36"/>
        <v>&gt; L3 Pilots</v>
      </c>
      <c r="B58" s="563">
        <f t="shared" ref="B58:AQ58" si="42">ROUND(IF(B$13="Deploy",MAX((B$80/100)*$B91,$B91),(B$80/100)*$B91),0)</f>
        <v>1</v>
      </c>
      <c r="C58" s="563">
        <f t="shared" si="42"/>
        <v>1</v>
      </c>
      <c r="D58" s="563">
        <f t="shared" si="42"/>
        <v>1</v>
      </c>
      <c r="E58" s="563">
        <f t="shared" si="42"/>
        <v>1</v>
      </c>
      <c r="F58" s="563">
        <f t="shared" si="42"/>
        <v>1</v>
      </c>
      <c r="G58" s="563">
        <f t="shared" si="42"/>
        <v>1</v>
      </c>
      <c r="H58" s="563">
        <f t="shared" si="42"/>
        <v>1</v>
      </c>
      <c r="I58" s="563">
        <f t="shared" si="42"/>
        <v>2</v>
      </c>
      <c r="J58" s="563">
        <f t="shared" si="42"/>
        <v>2</v>
      </c>
      <c r="K58" s="563">
        <f t="shared" si="42"/>
        <v>2</v>
      </c>
      <c r="L58" s="563">
        <f t="shared" si="42"/>
        <v>2</v>
      </c>
      <c r="M58" s="563">
        <f t="shared" si="42"/>
        <v>3</v>
      </c>
      <c r="N58" s="563">
        <f t="shared" si="42"/>
        <v>3</v>
      </c>
      <c r="O58" s="563">
        <f t="shared" si="42"/>
        <v>3</v>
      </c>
      <c r="P58" s="563">
        <f t="shared" si="42"/>
        <v>3</v>
      </c>
      <c r="Q58" s="563">
        <f t="shared" si="42"/>
        <v>3</v>
      </c>
      <c r="R58" s="563">
        <f t="shared" si="42"/>
        <v>3</v>
      </c>
      <c r="S58" s="563">
        <f t="shared" si="42"/>
        <v>3</v>
      </c>
      <c r="T58" s="563">
        <f t="shared" si="42"/>
        <v>3</v>
      </c>
      <c r="U58" s="563">
        <f t="shared" si="42"/>
        <v>3</v>
      </c>
      <c r="V58" s="563">
        <f t="shared" si="42"/>
        <v>3</v>
      </c>
      <c r="W58" s="563">
        <f t="shared" si="42"/>
        <v>3</v>
      </c>
      <c r="X58" s="563">
        <f t="shared" si="42"/>
        <v>3</v>
      </c>
      <c r="Y58" s="563">
        <f t="shared" si="42"/>
        <v>3</v>
      </c>
      <c r="Z58" s="563">
        <f t="shared" si="42"/>
        <v>3</v>
      </c>
      <c r="AA58" s="563">
        <f t="shared" si="42"/>
        <v>3</v>
      </c>
      <c r="AB58" s="564">
        <f t="shared" si="42"/>
        <v>2</v>
      </c>
      <c r="AC58" s="100">
        <f t="shared" si="42"/>
        <v>1</v>
      </c>
      <c r="AD58" s="563">
        <f t="shared" si="42"/>
        <v>1</v>
      </c>
      <c r="AE58" s="563">
        <f t="shared" si="42"/>
        <v>2</v>
      </c>
      <c r="AF58" s="563">
        <f t="shared" si="42"/>
        <v>2</v>
      </c>
      <c r="AG58" s="563">
        <f t="shared" si="42"/>
        <v>2</v>
      </c>
      <c r="AH58" s="563">
        <f t="shared" si="42"/>
        <v>2</v>
      </c>
      <c r="AI58" s="563">
        <f t="shared" si="42"/>
        <v>3</v>
      </c>
      <c r="AJ58" s="563">
        <f t="shared" si="42"/>
        <v>3</v>
      </c>
      <c r="AK58" s="563">
        <f t="shared" si="42"/>
        <v>3</v>
      </c>
      <c r="AL58" s="563">
        <f t="shared" si="42"/>
        <v>3</v>
      </c>
      <c r="AM58" s="563">
        <f t="shared" si="42"/>
        <v>3</v>
      </c>
      <c r="AN58" s="563">
        <f t="shared" si="42"/>
        <v>3</v>
      </c>
      <c r="AO58" s="563">
        <f t="shared" si="42"/>
        <v>3</v>
      </c>
      <c r="AP58" s="565">
        <f t="shared" si="42"/>
        <v>2</v>
      </c>
      <c r="AQ58" s="566">
        <f t="shared" si="42"/>
        <v>1</v>
      </c>
    </row>
    <row r="59" spans="1:43" s="21" customFormat="1" x14ac:dyDescent="0.2">
      <c r="A59" s="562" t="str">
        <f t="shared" si="36"/>
        <v>&gt; L2 Pilots</v>
      </c>
      <c r="B59" s="563">
        <f t="shared" ref="B59:AQ59" si="43">ROUND(IF(B$13="Deploy",MAX((B$80/100)*$B92,$B92),(B$80/100)*$B92),0)</f>
        <v>2</v>
      </c>
      <c r="C59" s="563">
        <f t="shared" si="43"/>
        <v>2</v>
      </c>
      <c r="D59" s="563">
        <f t="shared" si="43"/>
        <v>2</v>
      </c>
      <c r="E59" s="563">
        <f t="shared" si="43"/>
        <v>2</v>
      </c>
      <c r="F59" s="563">
        <f t="shared" si="43"/>
        <v>2</v>
      </c>
      <c r="G59" s="563">
        <f t="shared" si="43"/>
        <v>2</v>
      </c>
      <c r="H59" s="563">
        <f t="shared" si="43"/>
        <v>3</v>
      </c>
      <c r="I59" s="563">
        <f t="shared" si="43"/>
        <v>3</v>
      </c>
      <c r="J59" s="563">
        <f t="shared" si="43"/>
        <v>4</v>
      </c>
      <c r="K59" s="563">
        <f t="shared" si="43"/>
        <v>4</v>
      </c>
      <c r="L59" s="563">
        <f t="shared" si="43"/>
        <v>5</v>
      </c>
      <c r="M59" s="563">
        <f t="shared" si="43"/>
        <v>5</v>
      </c>
      <c r="N59" s="563">
        <f t="shared" si="43"/>
        <v>5</v>
      </c>
      <c r="O59" s="563">
        <f t="shared" si="43"/>
        <v>5</v>
      </c>
      <c r="P59" s="563">
        <f t="shared" si="43"/>
        <v>5</v>
      </c>
      <c r="Q59" s="563">
        <f t="shared" si="43"/>
        <v>5</v>
      </c>
      <c r="R59" s="563">
        <f t="shared" si="43"/>
        <v>6</v>
      </c>
      <c r="S59" s="563">
        <f t="shared" si="43"/>
        <v>6</v>
      </c>
      <c r="T59" s="563">
        <f t="shared" si="43"/>
        <v>6</v>
      </c>
      <c r="U59" s="563">
        <f t="shared" si="43"/>
        <v>6</v>
      </c>
      <c r="V59" s="563">
        <f t="shared" si="43"/>
        <v>6</v>
      </c>
      <c r="W59" s="563">
        <f t="shared" si="43"/>
        <v>6</v>
      </c>
      <c r="X59" s="563">
        <f t="shared" si="43"/>
        <v>6</v>
      </c>
      <c r="Y59" s="563">
        <f t="shared" si="43"/>
        <v>5</v>
      </c>
      <c r="Z59" s="563">
        <f t="shared" si="43"/>
        <v>5</v>
      </c>
      <c r="AA59" s="563">
        <f t="shared" si="43"/>
        <v>5</v>
      </c>
      <c r="AB59" s="564">
        <f t="shared" si="43"/>
        <v>5</v>
      </c>
      <c r="AC59" s="100">
        <f t="shared" si="43"/>
        <v>2</v>
      </c>
      <c r="AD59" s="563">
        <f t="shared" si="43"/>
        <v>3</v>
      </c>
      <c r="AE59" s="563">
        <f t="shared" si="43"/>
        <v>3</v>
      </c>
      <c r="AF59" s="563">
        <f t="shared" si="43"/>
        <v>4</v>
      </c>
      <c r="AG59" s="563">
        <f t="shared" si="43"/>
        <v>4</v>
      </c>
      <c r="AH59" s="563">
        <f t="shared" si="43"/>
        <v>5</v>
      </c>
      <c r="AI59" s="563">
        <f t="shared" si="43"/>
        <v>5</v>
      </c>
      <c r="AJ59" s="563">
        <f t="shared" si="43"/>
        <v>5</v>
      </c>
      <c r="AK59" s="563">
        <f t="shared" si="43"/>
        <v>5</v>
      </c>
      <c r="AL59" s="563">
        <f t="shared" si="43"/>
        <v>5</v>
      </c>
      <c r="AM59" s="563">
        <f t="shared" si="43"/>
        <v>5</v>
      </c>
      <c r="AN59" s="563">
        <f t="shared" si="43"/>
        <v>5</v>
      </c>
      <c r="AO59" s="563">
        <f t="shared" si="43"/>
        <v>5</v>
      </c>
      <c r="AP59" s="565">
        <f t="shared" si="43"/>
        <v>5</v>
      </c>
      <c r="AQ59" s="566">
        <f t="shared" si="43"/>
        <v>2</v>
      </c>
    </row>
    <row r="60" spans="1:43" s="21" customFormat="1" x14ac:dyDescent="0.2">
      <c r="A60" s="562" t="str">
        <f t="shared" si="36"/>
        <v>&gt; L1 Pilots</v>
      </c>
      <c r="B60" s="563">
        <f t="shared" ref="B60:G60" si="44">ROUNDUP(IF(B$13="Deploy",MAX((B$80/100)*$B93,$B93),(B$80/100)*$B93),0)</f>
        <v>3</v>
      </c>
      <c r="C60" s="563">
        <f t="shared" si="44"/>
        <v>3</v>
      </c>
      <c r="D60" s="563">
        <f t="shared" si="44"/>
        <v>3</v>
      </c>
      <c r="E60" s="563">
        <f t="shared" si="44"/>
        <v>3</v>
      </c>
      <c r="F60" s="563">
        <f t="shared" si="44"/>
        <v>3</v>
      </c>
      <c r="G60" s="563">
        <f t="shared" si="44"/>
        <v>3</v>
      </c>
      <c r="H60" s="563">
        <f t="shared" ref="H60:AB60" si="45">ROUND(IF(H$13="Deploy",MAX((H$80/100)*$B93,$B93),(H$80/100)*$B93),0)</f>
        <v>3</v>
      </c>
      <c r="I60" s="563">
        <f t="shared" si="45"/>
        <v>3</v>
      </c>
      <c r="J60" s="563">
        <f t="shared" si="45"/>
        <v>4</v>
      </c>
      <c r="K60" s="563">
        <f t="shared" si="45"/>
        <v>4</v>
      </c>
      <c r="L60" s="563">
        <f t="shared" si="45"/>
        <v>5</v>
      </c>
      <c r="M60" s="563">
        <f t="shared" si="45"/>
        <v>5</v>
      </c>
      <c r="N60" s="563">
        <f t="shared" si="45"/>
        <v>5</v>
      </c>
      <c r="O60" s="563">
        <f t="shared" si="45"/>
        <v>5</v>
      </c>
      <c r="P60" s="563">
        <f t="shared" si="45"/>
        <v>5</v>
      </c>
      <c r="Q60" s="563">
        <f t="shared" si="45"/>
        <v>5</v>
      </c>
      <c r="R60" s="563">
        <f t="shared" si="45"/>
        <v>6</v>
      </c>
      <c r="S60" s="563">
        <f t="shared" si="45"/>
        <v>6</v>
      </c>
      <c r="T60" s="563">
        <f t="shared" si="45"/>
        <v>6</v>
      </c>
      <c r="U60" s="563">
        <f t="shared" si="45"/>
        <v>6</v>
      </c>
      <c r="V60" s="563">
        <f t="shared" si="45"/>
        <v>6</v>
      </c>
      <c r="W60" s="563">
        <f t="shared" si="45"/>
        <v>6</v>
      </c>
      <c r="X60" s="563">
        <f t="shared" si="45"/>
        <v>6</v>
      </c>
      <c r="Y60" s="563">
        <f t="shared" si="45"/>
        <v>5</v>
      </c>
      <c r="Z60" s="563">
        <f t="shared" si="45"/>
        <v>5</v>
      </c>
      <c r="AA60" s="563">
        <f t="shared" si="45"/>
        <v>5</v>
      </c>
      <c r="AB60" s="564">
        <f t="shared" si="45"/>
        <v>5</v>
      </c>
      <c r="AC60" s="100">
        <f>ROUNDUP(IF(AC$13="Deploy",MAX((AC$80/100)*$B93,$B93),(AC$80/100)*$B93),0)</f>
        <v>3</v>
      </c>
      <c r="AD60" s="563">
        <f t="shared" ref="AD60:AQ60" si="46">ROUND(IF(AD$13="Deploy",MAX((AD$80/100)*$B93,$B93),(AD$80/100)*$B93),0)</f>
        <v>3</v>
      </c>
      <c r="AE60" s="563">
        <f t="shared" si="46"/>
        <v>3</v>
      </c>
      <c r="AF60" s="563">
        <f t="shared" si="46"/>
        <v>4</v>
      </c>
      <c r="AG60" s="563">
        <f t="shared" si="46"/>
        <v>4</v>
      </c>
      <c r="AH60" s="563">
        <f t="shared" si="46"/>
        <v>5</v>
      </c>
      <c r="AI60" s="563">
        <f t="shared" si="46"/>
        <v>5</v>
      </c>
      <c r="AJ60" s="563">
        <f t="shared" si="46"/>
        <v>5</v>
      </c>
      <c r="AK60" s="563">
        <f t="shared" si="46"/>
        <v>5</v>
      </c>
      <c r="AL60" s="563">
        <f t="shared" si="46"/>
        <v>5</v>
      </c>
      <c r="AM60" s="563">
        <f t="shared" si="46"/>
        <v>5</v>
      </c>
      <c r="AN60" s="563">
        <f t="shared" si="46"/>
        <v>5</v>
      </c>
      <c r="AO60" s="563">
        <f t="shared" si="46"/>
        <v>5</v>
      </c>
      <c r="AP60" s="565">
        <f t="shared" si="46"/>
        <v>5</v>
      </c>
      <c r="AQ60" s="566">
        <f t="shared" si="46"/>
        <v>2</v>
      </c>
    </row>
    <row r="61" spans="1:43" s="21" customFormat="1" x14ac:dyDescent="0.2">
      <c r="A61" s="562" t="str">
        <f t="shared" ref="A61:A63" si="47">A94</f>
        <v>&gt; L3 Crewman</v>
      </c>
      <c r="B61" s="563">
        <f t="shared" ref="B61:G65" si="48">ROUND(IF(B$13="Deploy",MAX((B$80/100)*$B94,$B94),(B$80/100)*$B94),0)</f>
        <v>0</v>
      </c>
      <c r="C61" s="563">
        <f t="shared" si="48"/>
        <v>0</v>
      </c>
      <c r="D61" s="563">
        <f t="shared" si="48"/>
        <v>0</v>
      </c>
      <c r="E61" s="563">
        <f t="shared" si="48"/>
        <v>0</v>
      </c>
      <c r="F61" s="563">
        <f t="shared" si="48"/>
        <v>0</v>
      </c>
      <c r="G61" s="563">
        <f t="shared" si="48"/>
        <v>0</v>
      </c>
      <c r="H61" s="563">
        <f t="shared" ref="H61:AB61" si="49">ROUND(IF(H$13="Deploy",MAX((H$80/100)*$B94,$B94),(H$80/100)*$B94),0)</f>
        <v>0</v>
      </c>
      <c r="I61" s="563">
        <f t="shared" si="49"/>
        <v>1</v>
      </c>
      <c r="J61" s="563">
        <f t="shared" si="49"/>
        <v>1</v>
      </c>
      <c r="K61" s="563">
        <f t="shared" si="49"/>
        <v>1</v>
      </c>
      <c r="L61" s="563">
        <f t="shared" si="49"/>
        <v>1</v>
      </c>
      <c r="M61" s="563">
        <f t="shared" si="49"/>
        <v>1</v>
      </c>
      <c r="N61" s="563">
        <f t="shared" si="49"/>
        <v>1</v>
      </c>
      <c r="O61" s="563">
        <f t="shared" si="49"/>
        <v>1</v>
      </c>
      <c r="P61" s="563">
        <f t="shared" si="49"/>
        <v>1</v>
      </c>
      <c r="Q61" s="563">
        <f t="shared" si="49"/>
        <v>1</v>
      </c>
      <c r="R61" s="563">
        <f t="shared" si="49"/>
        <v>1</v>
      </c>
      <c r="S61" s="563">
        <f t="shared" si="49"/>
        <v>1</v>
      </c>
      <c r="T61" s="563">
        <f t="shared" si="49"/>
        <v>1</v>
      </c>
      <c r="U61" s="563">
        <f t="shared" si="49"/>
        <v>1</v>
      </c>
      <c r="V61" s="563">
        <f t="shared" si="49"/>
        <v>1</v>
      </c>
      <c r="W61" s="563">
        <f t="shared" si="49"/>
        <v>1</v>
      </c>
      <c r="X61" s="563">
        <f t="shared" si="49"/>
        <v>1</v>
      </c>
      <c r="Y61" s="563">
        <f t="shared" si="49"/>
        <v>1</v>
      </c>
      <c r="Z61" s="563">
        <f t="shared" si="49"/>
        <v>1</v>
      </c>
      <c r="AA61" s="563">
        <f t="shared" si="49"/>
        <v>1</v>
      </c>
      <c r="AB61" s="564">
        <f t="shared" si="49"/>
        <v>1</v>
      </c>
      <c r="AC61" s="100">
        <f>ROUND(IF(AC$13="Deploy",MAX((AC$80/100)*$B94,$B94),(AC$80/100)*$B94),0)</f>
        <v>0</v>
      </c>
      <c r="AD61" s="563">
        <f t="shared" ref="AD61:AQ61" si="50">ROUND(IF(AD$13="Deploy",MAX((AD$80/100)*$B94,$B94),(AD$80/100)*$B94),0)</f>
        <v>0</v>
      </c>
      <c r="AE61" s="563">
        <f t="shared" si="50"/>
        <v>1</v>
      </c>
      <c r="AF61" s="563">
        <f t="shared" si="50"/>
        <v>1</v>
      </c>
      <c r="AG61" s="563">
        <f t="shared" si="50"/>
        <v>1</v>
      </c>
      <c r="AH61" s="563">
        <f t="shared" si="50"/>
        <v>1</v>
      </c>
      <c r="AI61" s="563">
        <f t="shared" si="50"/>
        <v>1</v>
      </c>
      <c r="AJ61" s="563">
        <f t="shared" si="50"/>
        <v>1</v>
      </c>
      <c r="AK61" s="563">
        <f t="shared" si="50"/>
        <v>1</v>
      </c>
      <c r="AL61" s="563">
        <f t="shared" si="50"/>
        <v>1</v>
      </c>
      <c r="AM61" s="563">
        <f t="shared" si="50"/>
        <v>1</v>
      </c>
      <c r="AN61" s="563">
        <f t="shared" si="50"/>
        <v>1</v>
      </c>
      <c r="AO61" s="563">
        <f t="shared" si="50"/>
        <v>1</v>
      </c>
      <c r="AP61" s="565">
        <f t="shared" si="50"/>
        <v>1</v>
      </c>
      <c r="AQ61" s="566">
        <f t="shared" si="50"/>
        <v>0</v>
      </c>
    </row>
    <row r="62" spans="1:43" s="21" customFormat="1" x14ac:dyDescent="0.2">
      <c r="A62" s="562" t="str">
        <f t="shared" si="47"/>
        <v xml:space="preserve">&gt; L2 Crewman </v>
      </c>
      <c r="B62" s="563">
        <f t="shared" si="48"/>
        <v>1</v>
      </c>
      <c r="C62" s="563">
        <f t="shared" si="48"/>
        <v>1</v>
      </c>
      <c r="D62" s="563">
        <f t="shared" si="48"/>
        <v>1</v>
      </c>
      <c r="E62" s="563">
        <f t="shared" si="48"/>
        <v>1</v>
      </c>
      <c r="F62" s="563">
        <f t="shared" si="48"/>
        <v>1</v>
      </c>
      <c r="G62" s="563">
        <f t="shared" si="48"/>
        <v>1</v>
      </c>
      <c r="H62" s="563">
        <f t="shared" ref="H62:AB62" si="51">ROUND(IF(H$13="Deploy",MAX((H$80/100)*$B95,$B95),(H$80/100)*$B95),0)</f>
        <v>1</v>
      </c>
      <c r="I62" s="563">
        <f t="shared" si="51"/>
        <v>2</v>
      </c>
      <c r="J62" s="563">
        <f t="shared" si="51"/>
        <v>2</v>
      </c>
      <c r="K62" s="563">
        <f t="shared" si="51"/>
        <v>2</v>
      </c>
      <c r="L62" s="563">
        <f t="shared" si="51"/>
        <v>2</v>
      </c>
      <c r="M62" s="563">
        <f t="shared" si="51"/>
        <v>3</v>
      </c>
      <c r="N62" s="563">
        <f t="shared" si="51"/>
        <v>3</v>
      </c>
      <c r="O62" s="563">
        <f t="shared" si="51"/>
        <v>3</v>
      </c>
      <c r="P62" s="563">
        <f t="shared" si="51"/>
        <v>3</v>
      </c>
      <c r="Q62" s="563">
        <f t="shared" si="51"/>
        <v>3</v>
      </c>
      <c r="R62" s="563">
        <f t="shared" si="51"/>
        <v>3</v>
      </c>
      <c r="S62" s="563">
        <f t="shared" si="51"/>
        <v>3</v>
      </c>
      <c r="T62" s="563">
        <f t="shared" si="51"/>
        <v>3</v>
      </c>
      <c r="U62" s="563">
        <f t="shared" si="51"/>
        <v>3</v>
      </c>
      <c r="V62" s="563">
        <f t="shared" si="51"/>
        <v>3</v>
      </c>
      <c r="W62" s="563">
        <f t="shared" si="51"/>
        <v>3</v>
      </c>
      <c r="X62" s="563">
        <f t="shared" si="51"/>
        <v>3</v>
      </c>
      <c r="Y62" s="563">
        <f t="shared" si="51"/>
        <v>3</v>
      </c>
      <c r="Z62" s="563">
        <f t="shared" si="51"/>
        <v>3</v>
      </c>
      <c r="AA62" s="563">
        <f t="shared" si="51"/>
        <v>3</v>
      </c>
      <c r="AB62" s="564">
        <f t="shared" si="51"/>
        <v>2</v>
      </c>
      <c r="AC62" s="100">
        <f>ROUND(IF(AC$13="Deploy",MAX((AC$80/100)*$B95,$B95),(AC$80/100)*$B95),0)</f>
        <v>1</v>
      </c>
      <c r="AD62" s="563">
        <f t="shared" ref="AD62:AQ62" si="52">ROUND(IF(AD$13="Deploy",MAX((AD$80/100)*$B95,$B95),(AD$80/100)*$B95),0)</f>
        <v>1</v>
      </c>
      <c r="AE62" s="563">
        <f t="shared" si="52"/>
        <v>2</v>
      </c>
      <c r="AF62" s="563">
        <f t="shared" si="52"/>
        <v>2</v>
      </c>
      <c r="AG62" s="563">
        <f t="shared" si="52"/>
        <v>2</v>
      </c>
      <c r="AH62" s="563">
        <f t="shared" si="52"/>
        <v>2</v>
      </c>
      <c r="AI62" s="563">
        <f t="shared" si="52"/>
        <v>3</v>
      </c>
      <c r="AJ62" s="563">
        <f t="shared" si="52"/>
        <v>3</v>
      </c>
      <c r="AK62" s="563">
        <f t="shared" si="52"/>
        <v>3</v>
      </c>
      <c r="AL62" s="563">
        <f t="shared" si="52"/>
        <v>3</v>
      </c>
      <c r="AM62" s="563">
        <f t="shared" si="52"/>
        <v>3</v>
      </c>
      <c r="AN62" s="563">
        <f t="shared" si="52"/>
        <v>3</v>
      </c>
      <c r="AO62" s="563">
        <f t="shared" si="52"/>
        <v>3</v>
      </c>
      <c r="AP62" s="565">
        <f t="shared" si="52"/>
        <v>2</v>
      </c>
      <c r="AQ62" s="566">
        <f t="shared" si="52"/>
        <v>1</v>
      </c>
    </row>
    <row r="63" spans="1:43" x14ac:dyDescent="0.2">
      <c r="A63" s="562" t="str">
        <f t="shared" si="47"/>
        <v xml:space="preserve">&gt; L1 Crewman </v>
      </c>
      <c r="B63" s="563">
        <f t="shared" si="48"/>
        <v>1</v>
      </c>
      <c r="C63" s="563">
        <f t="shared" si="48"/>
        <v>1</v>
      </c>
      <c r="D63" s="563">
        <f t="shared" si="48"/>
        <v>1</v>
      </c>
      <c r="E63" s="563">
        <f t="shared" si="48"/>
        <v>1</v>
      </c>
      <c r="F63" s="563">
        <f t="shared" si="48"/>
        <v>1</v>
      </c>
      <c r="G63" s="563">
        <f t="shared" si="48"/>
        <v>1</v>
      </c>
      <c r="H63" s="563">
        <f t="shared" ref="H63:AB63" si="53">ROUND(IF(H$13="Deploy",MAX((H$80/100)*$B96,$B96),(H$80/100)*$B96),0)</f>
        <v>1</v>
      </c>
      <c r="I63" s="563">
        <f t="shared" si="53"/>
        <v>2</v>
      </c>
      <c r="J63" s="563">
        <f t="shared" si="53"/>
        <v>2</v>
      </c>
      <c r="K63" s="563">
        <f t="shared" si="53"/>
        <v>2</v>
      </c>
      <c r="L63" s="563">
        <f t="shared" si="53"/>
        <v>2</v>
      </c>
      <c r="M63" s="563">
        <f t="shared" si="53"/>
        <v>3</v>
      </c>
      <c r="N63" s="563">
        <f t="shared" si="53"/>
        <v>3</v>
      </c>
      <c r="O63" s="563">
        <f t="shared" si="53"/>
        <v>3</v>
      </c>
      <c r="P63" s="563">
        <f t="shared" si="53"/>
        <v>3</v>
      </c>
      <c r="Q63" s="563">
        <f t="shared" si="53"/>
        <v>3</v>
      </c>
      <c r="R63" s="563">
        <f t="shared" si="53"/>
        <v>3</v>
      </c>
      <c r="S63" s="563">
        <f t="shared" si="53"/>
        <v>3</v>
      </c>
      <c r="T63" s="563">
        <f t="shared" si="53"/>
        <v>3</v>
      </c>
      <c r="U63" s="563">
        <f t="shared" si="53"/>
        <v>3</v>
      </c>
      <c r="V63" s="563">
        <f t="shared" si="53"/>
        <v>3</v>
      </c>
      <c r="W63" s="563">
        <f t="shared" si="53"/>
        <v>3</v>
      </c>
      <c r="X63" s="563">
        <f t="shared" si="53"/>
        <v>3</v>
      </c>
      <c r="Y63" s="563">
        <f t="shared" si="53"/>
        <v>3</v>
      </c>
      <c r="Z63" s="563">
        <f t="shared" si="53"/>
        <v>3</v>
      </c>
      <c r="AA63" s="563">
        <f t="shared" si="53"/>
        <v>3</v>
      </c>
      <c r="AB63" s="564">
        <f t="shared" si="53"/>
        <v>2</v>
      </c>
      <c r="AC63" s="100">
        <f>ROUND(IF(AC$13="Deploy",MAX((AC$80/100)*$B96,$B96),(AC$80/100)*$B96),0)</f>
        <v>1</v>
      </c>
      <c r="AD63" s="563">
        <f t="shared" ref="AD63:AQ63" si="54">ROUND(IF(AD$13="Deploy",MAX((AD$80/100)*$B96,$B96),(AD$80/100)*$B96),0)</f>
        <v>1</v>
      </c>
      <c r="AE63" s="563">
        <f t="shared" si="54"/>
        <v>2</v>
      </c>
      <c r="AF63" s="563">
        <f t="shared" si="54"/>
        <v>2</v>
      </c>
      <c r="AG63" s="563">
        <f t="shared" si="54"/>
        <v>2</v>
      </c>
      <c r="AH63" s="563">
        <f t="shared" si="54"/>
        <v>2</v>
      </c>
      <c r="AI63" s="563">
        <f t="shared" si="54"/>
        <v>3</v>
      </c>
      <c r="AJ63" s="563">
        <f t="shared" si="54"/>
        <v>3</v>
      </c>
      <c r="AK63" s="563">
        <f t="shared" si="54"/>
        <v>3</v>
      </c>
      <c r="AL63" s="563">
        <f t="shared" si="54"/>
        <v>3</v>
      </c>
      <c r="AM63" s="563">
        <f t="shared" si="54"/>
        <v>3</v>
      </c>
      <c r="AN63" s="563">
        <f t="shared" si="54"/>
        <v>3</v>
      </c>
      <c r="AO63" s="563">
        <f t="shared" si="54"/>
        <v>3</v>
      </c>
      <c r="AP63" s="565">
        <f t="shared" si="54"/>
        <v>2</v>
      </c>
      <c r="AQ63" s="566">
        <f t="shared" si="54"/>
        <v>1</v>
      </c>
    </row>
    <row r="64" spans="1:43" x14ac:dyDescent="0.2">
      <c r="A64" s="562" t="str">
        <f>A97</f>
        <v>DLQ Current HACS</v>
      </c>
      <c r="B64" s="563">
        <f t="shared" si="48"/>
        <v>1</v>
      </c>
      <c r="C64" s="563">
        <f t="shared" si="48"/>
        <v>1</v>
      </c>
      <c r="D64" s="563">
        <f t="shared" si="48"/>
        <v>1</v>
      </c>
      <c r="E64" s="563">
        <f t="shared" si="48"/>
        <v>1</v>
      </c>
      <c r="F64" s="563">
        <f t="shared" si="48"/>
        <v>1</v>
      </c>
      <c r="G64" s="563">
        <f t="shared" si="48"/>
        <v>1</v>
      </c>
      <c r="H64" s="563">
        <f t="shared" ref="H64:AB64" si="55">ROUND(IF(H$13="Deploy",MAX((H$80/100)*$B97,$B97),(H$80/100)*$B97),0)</f>
        <v>1</v>
      </c>
      <c r="I64" s="563">
        <f t="shared" si="55"/>
        <v>2</v>
      </c>
      <c r="J64" s="563">
        <f t="shared" si="55"/>
        <v>2</v>
      </c>
      <c r="K64" s="563">
        <f t="shared" si="55"/>
        <v>2</v>
      </c>
      <c r="L64" s="563">
        <f t="shared" si="55"/>
        <v>2</v>
      </c>
      <c r="M64" s="563">
        <f t="shared" si="55"/>
        <v>3</v>
      </c>
      <c r="N64" s="563">
        <f t="shared" si="55"/>
        <v>3</v>
      </c>
      <c r="O64" s="563">
        <f t="shared" si="55"/>
        <v>3</v>
      </c>
      <c r="P64" s="563">
        <f t="shared" si="55"/>
        <v>3</v>
      </c>
      <c r="Q64" s="563">
        <f t="shared" si="55"/>
        <v>3</v>
      </c>
      <c r="R64" s="563">
        <f t="shared" si="55"/>
        <v>3</v>
      </c>
      <c r="S64" s="563">
        <f t="shared" si="55"/>
        <v>3</v>
      </c>
      <c r="T64" s="563">
        <f t="shared" si="55"/>
        <v>3</v>
      </c>
      <c r="U64" s="563">
        <f t="shared" si="55"/>
        <v>3</v>
      </c>
      <c r="V64" s="563">
        <f t="shared" si="55"/>
        <v>3</v>
      </c>
      <c r="W64" s="563">
        <f t="shared" si="55"/>
        <v>3</v>
      </c>
      <c r="X64" s="563">
        <f t="shared" si="55"/>
        <v>3</v>
      </c>
      <c r="Y64" s="563">
        <f t="shared" si="55"/>
        <v>3</v>
      </c>
      <c r="Z64" s="563">
        <f t="shared" si="55"/>
        <v>3</v>
      </c>
      <c r="AA64" s="563">
        <f t="shared" si="55"/>
        <v>3</v>
      </c>
      <c r="AB64" s="564">
        <f t="shared" si="55"/>
        <v>2</v>
      </c>
      <c r="AC64" s="100">
        <f>ROUND(IF(AC$13="Deploy",MAX((AC$80/100)*$B97,$B97),(AC$80/100)*$B97),0)</f>
        <v>1</v>
      </c>
      <c r="AD64" s="563">
        <f t="shared" ref="AD64:AQ64" si="56">ROUND(IF(AD$13="Deploy",MAX((AD$80/100)*$B97,$B97),(AD$80/100)*$B97),0)</f>
        <v>1</v>
      </c>
      <c r="AE64" s="563">
        <f t="shared" si="56"/>
        <v>2</v>
      </c>
      <c r="AF64" s="563">
        <f t="shared" si="56"/>
        <v>2</v>
      </c>
      <c r="AG64" s="563">
        <f t="shared" si="56"/>
        <v>2</v>
      </c>
      <c r="AH64" s="563">
        <f t="shared" si="56"/>
        <v>2</v>
      </c>
      <c r="AI64" s="563">
        <f t="shared" si="56"/>
        <v>3</v>
      </c>
      <c r="AJ64" s="563">
        <f t="shared" si="56"/>
        <v>3</v>
      </c>
      <c r="AK64" s="563">
        <f t="shared" si="56"/>
        <v>3</v>
      </c>
      <c r="AL64" s="563">
        <f t="shared" si="56"/>
        <v>3</v>
      </c>
      <c r="AM64" s="563">
        <f t="shared" si="56"/>
        <v>3</v>
      </c>
      <c r="AN64" s="563">
        <f t="shared" si="56"/>
        <v>3</v>
      </c>
      <c r="AO64" s="563">
        <f t="shared" si="56"/>
        <v>3</v>
      </c>
      <c r="AP64" s="565">
        <f t="shared" si="56"/>
        <v>2</v>
      </c>
      <c r="AQ64" s="566">
        <f t="shared" si="56"/>
        <v>1</v>
      </c>
    </row>
    <row r="65" spans="1:43" ht="12.75" thickBot="1" x14ac:dyDescent="0.25">
      <c r="A65" s="562" t="str">
        <f>A98</f>
        <v>Required Skilled Crews</v>
      </c>
      <c r="B65" s="563">
        <f t="shared" si="48"/>
        <v>1</v>
      </c>
      <c r="C65" s="563">
        <f t="shared" si="48"/>
        <v>1</v>
      </c>
      <c r="D65" s="563">
        <f t="shared" si="48"/>
        <v>1</v>
      </c>
      <c r="E65" s="563">
        <f t="shared" si="48"/>
        <v>1</v>
      </c>
      <c r="F65" s="563">
        <f t="shared" si="48"/>
        <v>1</v>
      </c>
      <c r="G65" s="563">
        <f t="shared" si="48"/>
        <v>1</v>
      </c>
      <c r="H65" s="563">
        <f t="shared" ref="H65:AB65" si="57">ROUND(IF(H$13="Deploy",MAX((H$80/100)*$B98,$B98),(H$80/100)*$B98),0)</f>
        <v>1</v>
      </c>
      <c r="I65" s="563">
        <f t="shared" si="57"/>
        <v>2</v>
      </c>
      <c r="J65" s="563">
        <f t="shared" si="57"/>
        <v>2</v>
      </c>
      <c r="K65" s="563">
        <f t="shared" si="57"/>
        <v>2</v>
      </c>
      <c r="L65" s="563">
        <f t="shared" si="57"/>
        <v>2</v>
      </c>
      <c r="M65" s="563">
        <f t="shared" si="57"/>
        <v>3</v>
      </c>
      <c r="N65" s="563">
        <f t="shared" si="57"/>
        <v>3</v>
      </c>
      <c r="O65" s="563">
        <f t="shared" si="57"/>
        <v>3</v>
      </c>
      <c r="P65" s="563">
        <f t="shared" si="57"/>
        <v>3</v>
      </c>
      <c r="Q65" s="563">
        <f t="shared" si="57"/>
        <v>3</v>
      </c>
      <c r="R65" s="563">
        <f t="shared" si="57"/>
        <v>3</v>
      </c>
      <c r="S65" s="563">
        <f t="shared" si="57"/>
        <v>3</v>
      </c>
      <c r="T65" s="563">
        <f t="shared" si="57"/>
        <v>3</v>
      </c>
      <c r="U65" s="563">
        <f t="shared" si="57"/>
        <v>3</v>
      </c>
      <c r="V65" s="563">
        <f t="shared" si="57"/>
        <v>3</v>
      </c>
      <c r="W65" s="563">
        <f t="shared" si="57"/>
        <v>3</v>
      </c>
      <c r="X65" s="563">
        <f t="shared" si="57"/>
        <v>3</v>
      </c>
      <c r="Y65" s="563">
        <f t="shared" si="57"/>
        <v>3</v>
      </c>
      <c r="Z65" s="563">
        <f t="shared" si="57"/>
        <v>3</v>
      </c>
      <c r="AA65" s="563">
        <f t="shared" si="57"/>
        <v>3</v>
      </c>
      <c r="AB65" s="564">
        <f t="shared" si="57"/>
        <v>2</v>
      </c>
      <c r="AC65" s="254">
        <f>ROUND(IF(AC$13="Deploy",MAX((AC$80/100)*$B98,$B98),(AC$80/100)*$B98),0)</f>
        <v>1</v>
      </c>
      <c r="AD65" s="255">
        <f t="shared" ref="AD65:AQ65" si="58">ROUND(IF(AD$13="Deploy",MAX((AD$80/100)*$B98,$B98),(AD$80/100)*$B98),0)</f>
        <v>1</v>
      </c>
      <c r="AE65" s="255">
        <f t="shared" si="58"/>
        <v>2</v>
      </c>
      <c r="AF65" s="255">
        <f t="shared" si="58"/>
        <v>2</v>
      </c>
      <c r="AG65" s="255">
        <f t="shared" si="58"/>
        <v>2</v>
      </c>
      <c r="AH65" s="255">
        <f t="shared" si="58"/>
        <v>2</v>
      </c>
      <c r="AI65" s="255">
        <f t="shared" si="58"/>
        <v>3</v>
      </c>
      <c r="AJ65" s="255">
        <f t="shared" si="58"/>
        <v>3</v>
      </c>
      <c r="AK65" s="255">
        <f t="shared" si="58"/>
        <v>3</v>
      </c>
      <c r="AL65" s="255">
        <f t="shared" si="58"/>
        <v>3</v>
      </c>
      <c r="AM65" s="255">
        <f t="shared" si="58"/>
        <v>3</v>
      </c>
      <c r="AN65" s="255">
        <f t="shared" si="58"/>
        <v>3</v>
      </c>
      <c r="AO65" s="255">
        <f t="shared" si="58"/>
        <v>3</v>
      </c>
      <c r="AP65" s="256">
        <f t="shared" si="58"/>
        <v>2</v>
      </c>
      <c r="AQ65" s="566">
        <f t="shared" si="58"/>
        <v>1</v>
      </c>
    </row>
    <row r="67" spans="1:43" s="74" customFormat="1" x14ac:dyDescent="0.2">
      <c r="A67" s="64"/>
      <c r="B67" s="64"/>
      <c r="C67" s="64"/>
      <c r="D67" s="64"/>
      <c r="E67" s="64"/>
      <c r="F67" s="64"/>
      <c r="G67" s="64"/>
      <c r="H67" s="70"/>
      <c r="I67" s="71"/>
      <c r="J67" s="71"/>
      <c r="K67" s="72"/>
      <c r="L67" s="72"/>
      <c r="M67" s="73"/>
      <c r="Q67" s="72"/>
      <c r="R67" s="75"/>
      <c r="S67" s="72"/>
      <c r="T67" s="64"/>
      <c r="V67" s="64"/>
      <c r="W67" s="64"/>
      <c r="X67" s="64"/>
      <c r="Y67" s="64"/>
      <c r="Z67" s="64"/>
      <c r="AA67" s="64"/>
      <c r="AB67" s="64"/>
    </row>
    <row r="68" spans="1:43" s="74" customFormat="1" x14ac:dyDescent="0.2">
      <c r="A68" s="64"/>
      <c r="B68" s="64"/>
      <c r="C68" s="64"/>
      <c r="D68" s="64"/>
      <c r="E68" s="64"/>
      <c r="F68" s="64"/>
      <c r="G68" s="64"/>
      <c r="H68" s="76"/>
      <c r="I68" s="77"/>
      <c r="J68" s="71"/>
      <c r="K68" s="72"/>
      <c r="L68" s="72"/>
      <c r="M68" s="76"/>
      <c r="N68" s="77"/>
      <c r="Q68" s="72"/>
      <c r="R68" s="28"/>
      <c r="T68" s="78"/>
      <c r="V68" s="64"/>
      <c r="W68" s="64"/>
      <c r="X68" s="64"/>
      <c r="Y68" s="64"/>
      <c r="Z68" s="64"/>
      <c r="AA68" s="64"/>
      <c r="AB68" s="64"/>
    </row>
    <row r="69" spans="1:43" s="74" customFormat="1" x14ac:dyDescent="0.2">
      <c r="A69" s="64"/>
      <c r="B69" s="64"/>
      <c r="C69" s="64"/>
      <c r="D69" s="64"/>
      <c r="E69" s="64"/>
      <c r="F69" s="64"/>
      <c r="G69" s="64"/>
      <c r="H69" s="33"/>
      <c r="I69" s="77"/>
      <c r="J69" s="71"/>
      <c r="K69" s="72"/>
      <c r="L69" s="72"/>
      <c r="M69" s="33"/>
      <c r="N69" s="77"/>
      <c r="O69" s="71"/>
      <c r="Q69" s="72"/>
      <c r="R69" s="28"/>
      <c r="T69" s="79"/>
      <c r="V69" s="64"/>
      <c r="W69" s="64"/>
      <c r="X69" s="64"/>
      <c r="Y69" s="64"/>
      <c r="Z69" s="64"/>
      <c r="AA69" s="64"/>
      <c r="AB69" s="64"/>
    </row>
    <row r="70" spans="1:43" s="74" customFormat="1" x14ac:dyDescent="0.2">
      <c r="A70" s="64"/>
      <c r="B70" s="64"/>
      <c r="C70" s="64"/>
      <c r="D70" s="64"/>
      <c r="E70" s="64"/>
      <c r="F70" s="64"/>
      <c r="G70" s="64"/>
      <c r="H70" s="33"/>
      <c r="I70" s="77"/>
      <c r="J70" s="71"/>
      <c r="K70" s="72"/>
      <c r="L70" s="72"/>
      <c r="M70" s="33"/>
      <c r="N70" s="77"/>
      <c r="O70" s="71"/>
      <c r="Q70" s="72"/>
      <c r="R70" s="28"/>
      <c r="T70" s="79"/>
      <c r="V70" s="64"/>
      <c r="W70" s="64"/>
      <c r="X70" s="64"/>
      <c r="Y70" s="64"/>
      <c r="Z70" s="64"/>
      <c r="AA70" s="64"/>
      <c r="AB70" s="64"/>
    </row>
    <row r="71" spans="1:43" s="74" customFormat="1" x14ac:dyDescent="0.2">
      <c r="A71" s="64"/>
      <c r="B71" s="64"/>
      <c r="C71" s="64"/>
      <c r="D71" s="64"/>
      <c r="E71" s="64"/>
      <c r="F71" s="64"/>
      <c r="G71" s="64"/>
      <c r="H71" s="33"/>
      <c r="I71" s="77"/>
      <c r="J71" s="71"/>
      <c r="K71" s="72"/>
      <c r="L71" s="72"/>
      <c r="M71" s="33"/>
      <c r="N71" s="77"/>
      <c r="O71" s="71"/>
      <c r="Q71" s="72"/>
      <c r="R71" s="28"/>
      <c r="T71" s="79"/>
      <c r="V71" s="64"/>
      <c r="W71" s="64"/>
      <c r="X71" s="64"/>
      <c r="Y71" s="64"/>
      <c r="Z71" s="64"/>
      <c r="AA71" s="64"/>
      <c r="AB71" s="64"/>
    </row>
    <row r="72" spans="1:43" s="74" customFormat="1" x14ac:dyDescent="0.2">
      <c r="A72" s="64"/>
      <c r="B72" s="64"/>
      <c r="C72" s="64"/>
      <c r="D72" s="64"/>
      <c r="E72" s="64"/>
      <c r="F72" s="64"/>
      <c r="G72" s="64"/>
      <c r="H72" s="33"/>
      <c r="I72" s="77"/>
      <c r="J72" s="71"/>
      <c r="K72" s="72"/>
      <c r="L72" s="72"/>
      <c r="M72" s="33"/>
      <c r="N72" s="77"/>
      <c r="O72" s="71"/>
      <c r="Q72" s="72"/>
      <c r="R72" s="28"/>
      <c r="T72" s="79"/>
      <c r="V72" s="64"/>
      <c r="W72" s="64"/>
      <c r="X72" s="64"/>
      <c r="Y72" s="64"/>
      <c r="Z72" s="64"/>
      <c r="AA72" s="64"/>
      <c r="AB72" s="64"/>
    </row>
    <row r="73" spans="1:43" s="74" customFormat="1" ht="12.75" thickBot="1" x14ac:dyDescent="0.25">
      <c r="A73" s="64"/>
      <c r="B73" s="64"/>
      <c r="C73" s="64"/>
      <c r="D73" s="64"/>
      <c r="E73" s="64"/>
      <c r="F73" s="64"/>
      <c r="G73" s="64"/>
      <c r="H73" s="33"/>
      <c r="I73" s="77"/>
      <c r="J73" s="71"/>
      <c r="K73" s="72"/>
      <c r="L73" s="72"/>
      <c r="M73" s="33"/>
      <c r="N73" s="77"/>
      <c r="O73" s="71"/>
      <c r="Q73" s="72"/>
      <c r="R73" s="28"/>
      <c r="T73" s="79"/>
      <c r="V73" s="64"/>
      <c r="W73" s="64"/>
      <c r="X73" s="64"/>
      <c r="Y73" s="64"/>
      <c r="Z73" s="64"/>
      <c r="AA73" s="64"/>
      <c r="AB73" s="64"/>
    </row>
    <row r="74" spans="1:43" ht="13.5" customHeight="1" thickBot="1" x14ac:dyDescent="0.25">
      <c r="A74" s="717" t="s">
        <v>160</v>
      </c>
      <c r="B74" s="718"/>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9"/>
    </row>
    <row r="75" spans="1:43" x14ac:dyDescent="0.2">
      <c r="A75" s="127" t="s">
        <v>161</v>
      </c>
      <c r="B75" s="128">
        <f t="shared" ref="B75:AB75" si="59">MIN(100,B77+$B$81)</f>
        <v>41.766866457937404</v>
      </c>
      <c r="C75" s="128">
        <f t="shared" si="59"/>
        <v>41.766866457937404</v>
      </c>
      <c r="D75" s="128">
        <f t="shared" si="59"/>
        <v>41.766866457937404</v>
      </c>
      <c r="E75" s="128">
        <f t="shared" si="59"/>
        <v>41.766866457937404</v>
      </c>
      <c r="F75" s="128">
        <f t="shared" si="59"/>
        <v>41.766866457937404</v>
      </c>
      <c r="G75" s="128">
        <f t="shared" si="59"/>
        <v>41.766866457937404</v>
      </c>
      <c r="H75" s="128">
        <f t="shared" si="59"/>
        <v>41.766866457937404</v>
      </c>
      <c r="I75" s="128">
        <f t="shared" si="59"/>
        <v>56.766866457937404</v>
      </c>
      <c r="J75" s="128">
        <f t="shared" si="59"/>
        <v>78.766866457937397</v>
      </c>
      <c r="K75" s="128">
        <f t="shared" si="59"/>
        <v>96.766866457937397</v>
      </c>
      <c r="L75" s="128">
        <f t="shared" si="59"/>
        <v>100</v>
      </c>
      <c r="M75" s="128">
        <f t="shared" si="59"/>
        <v>100</v>
      </c>
      <c r="N75" s="128">
        <f t="shared" si="59"/>
        <v>100</v>
      </c>
      <c r="O75" s="128">
        <f t="shared" si="59"/>
        <v>100</v>
      </c>
      <c r="P75" s="128">
        <f t="shared" si="59"/>
        <v>100</v>
      </c>
      <c r="Q75" s="128">
        <f t="shared" si="59"/>
        <v>100</v>
      </c>
      <c r="R75" s="128">
        <f t="shared" si="59"/>
        <v>100</v>
      </c>
      <c r="S75" s="128">
        <f t="shared" si="59"/>
        <v>100</v>
      </c>
      <c r="T75" s="128">
        <f t="shared" si="59"/>
        <v>100</v>
      </c>
      <c r="U75" s="128">
        <f t="shared" si="59"/>
        <v>100</v>
      </c>
      <c r="V75" s="128">
        <f t="shared" si="59"/>
        <v>100</v>
      </c>
      <c r="W75" s="128">
        <f t="shared" si="59"/>
        <v>100</v>
      </c>
      <c r="X75" s="128">
        <f t="shared" si="59"/>
        <v>100</v>
      </c>
      <c r="Y75" s="128">
        <f t="shared" si="59"/>
        <v>100</v>
      </c>
      <c r="Z75" s="128">
        <f t="shared" si="59"/>
        <v>100</v>
      </c>
      <c r="AA75" s="128">
        <f t="shared" si="59"/>
        <v>100</v>
      </c>
      <c r="AB75" s="129">
        <f t="shared" si="59"/>
        <v>100</v>
      </c>
      <c r="AC75" s="128">
        <f t="shared" ref="AC75:AL79" si="60">G75</f>
        <v>41.766866457937404</v>
      </c>
      <c r="AD75" s="128">
        <f t="shared" si="60"/>
        <v>41.766866457937404</v>
      </c>
      <c r="AE75" s="128">
        <f t="shared" si="60"/>
        <v>56.766866457937404</v>
      </c>
      <c r="AF75" s="128">
        <f t="shared" si="60"/>
        <v>78.766866457937397</v>
      </c>
      <c r="AG75" s="128">
        <f t="shared" si="60"/>
        <v>96.766866457937397</v>
      </c>
      <c r="AH75" s="128">
        <f t="shared" si="60"/>
        <v>100</v>
      </c>
      <c r="AI75" s="128">
        <f t="shared" si="60"/>
        <v>100</v>
      </c>
      <c r="AJ75" s="128">
        <f t="shared" si="60"/>
        <v>100</v>
      </c>
      <c r="AK75" s="128">
        <f t="shared" si="60"/>
        <v>100</v>
      </c>
      <c r="AL75" s="128">
        <f t="shared" si="60"/>
        <v>100</v>
      </c>
      <c r="AM75" s="128">
        <f t="shared" ref="AM75:AP79" si="61">Y75</f>
        <v>100</v>
      </c>
      <c r="AN75" s="128">
        <f t="shared" si="61"/>
        <v>100</v>
      </c>
      <c r="AO75" s="128">
        <f t="shared" si="61"/>
        <v>100</v>
      </c>
      <c r="AP75" s="129">
        <f t="shared" si="61"/>
        <v>100</v>
      </c>
      <c r="AQ75" s="130">
        <f>MIN(100,AQ77+$B$81)</f>
        <v>73.766866457937397</v>
      </c>
    </row>
    <row r="76" spans="1:43" x14ac:dyDescent="0.2">
      <c r="A76" s="22" t="s">
        <v>162</v>
      </c>
      <c r="B76" s="582">
        <f t="shared" ref="B76:AB76" si="62">MIN(100,B77+$B$82)</f>
        <v>23.383433228968702</v>
      </c>
      <c r="C76" s="582">
        <f t="shared" si="62"/>
        <v>23.383433228968702</v>
      </c>
      <c r="D76" s="582">
        <f t="shared" si="62"/>
        <v>23.383433228968702</v>
      </c>
      <c r="E76" s="582">
        <f t="shared" si="62"/>
        <v>23.383433228968702</v>
      </c>
      <c r="F76" s="582">
        <f t="shared" si="62"/>
        <v>23.383433228968702</v>
      </c>
      <c r="G76" s="582">
        <f t="shared" si="62"/>
        <v>23.383433228968702</v>
      </c>
      <c r="H76" s="582">
        <f t="shared" si="62"/>
        <v>23.383433228968702</v>
      </c>
      <c r="I76" s="582">
        <f t="shared" si="62"/>
        <v>38.383433228968698</v>
      </c>
      <c r="J76" s="582">
        <f t="shared" si="62"/>
        <v>60.383433228968698</v>
      </c>
      <c r="K76" s="582">
        <f t="shared" si="62"/>
        <v>78.383433228968698</v>
      </c>
      <c r="L76" s="582">
        <f t="shared" si="62"/>
        <v>88.383433228968698</v>
      </c>
      <c r="M76" s="582">
        <f t="shared" si="62"/>
        <v>88.383433228968698</v>
      </c>
      <c r="N76" s="582">
        <f t="shared" si="62"/>
        <v>98.383433228968698</v>
      </c>
      <c r="O76" s="582">
        <f t="shared" si="62"/>
        <v>98.383433228968698</v>
      </c>
      <c r="P76" s="582">
        <f t="shared" si="62"/>
        <v>98.383433228968698</v>
      </c>
      <c r="Q76" s="582">
        <f t="shared" si="62"/>
        <v>98.383433228968698</v>
      </c>
      <c r="R76" s="582">
        <f t="shared" si="62"/>
        <v>100</v>
      </c>
      <c r="S76" s="582">
        <f t="shared" si="62"/>
        <v>100</v>
      </c>
      <c r="T76" s="582">
        <f t="shared" si="62"/>
        <v>100</v>
      </c>
      <c r="U76" s="582">
        <f t="shared" si="62"/>
        <v>100</v>
      </c>
      <c r="V76" s="582">
        <f t="shared" si="62"/>
        <v>100</v>
      </c>
      <c r="W76" s="582">
        <f t="shared" si="62"/>
        <v>100</v>
      </c>
      <c r="X76" s="582">
        <f t="shared" si="62"/>
        <v>98.383433228968698</v>
      </c>
      <c r="Y76" s="582">
        <f t="shared" si="62"/>
        <v>98.383433228968698</v>
      </c>
      <c r="Z76" s="582">
        <f t="shared" si="62"/>
        <v>98.383433228968698</v>
      </c>
      <c r="AA76" s="582">
        <f t="shared" si="62"/>
        <v>98.383433228968698</v>
      </c>
      <c r="AB76" s="583">
        <f t="shared" si="62"/>
        <v>98.383433228968698</v>
      </c>
      <c r="AC76" s="582">
        <f t="shared" si="60"/>
        <v>23.383433228968702</v>
      </c>
      <c r="AD76" s="582">
        <f t="shared" si="60"/>
        <v>23.383433228968702</v>
      </c>
      <c r="AE76" s="582">
        <f t="shared" si="60"/>
        <v>38.383433228968698</v>
      </c>
      <c r="AF76" s="582">
        <f t="shared" si="60"/>
        <v>60.383433228968698</v>
      </c>
      <c r="AG76" s="582">
        <f t="shared" si="60"/>
        <v>78.383433228968698</v>
      </c>
      <c r="AH76" s="582">
        <f t="shared" si="60"/>
        <v>88.383433228968698</v>
      </c>
      <c r="AI76" s="582">
        <f t="shared" si="60"/>
        <v>88.383433228968698</v>
      </c>
      <c r="AJ76" s="582">
        <f t="shared" si="60"/>
        <v>98.383433228968698</v>
      </c>
      <c r="AK76" s="582">
        <f t="shared" si="60"/>
        <v>98.383433228968698</v>
      </c>
      <c r="AL76" s="582">
        <f t="shared" si="60"/>
        <v>98.383433228968698</v>
      </c>
      <c r="AM76" s="582">
        <f t="shared" si="61"/>
        <v>98.383433228968698</v>
      </c>
      <c r="AN76" s="582">
        <f t="shared" si="61"/>
        <v>98.383433228968698</v>
      </c>
      <c r="AO76" s="582">
        <f t="shared" si="61"/>
        <v>98.383433228968698</v>
      </c>
      <c r="AP76" s="583">
        <f t="shared" si="61"/>
        <v>98.383433228968698</v>
      </c>
      <c r="AQ76" s="124">
        <f>MIN(100,AQ77+$B$82)</f>
        <v>55.383433228968698</v>
      </c>
    </row>
    <row r="77" spans="1:43" x14ac:dyDescent="0.2">
      <c r="A77" s="22" t="s">
        <v>163</v>
      </c>
      <c r="B77" s="584">
        <v>5</v>
      </c>
      <c r="C77" s="584">
        <v>5</v>
      </c>
      <c r="D77" s="584">
        <v>5</v>
      </c>
      <c r="E77" s="584">
        <v>5</v>
      </c>
      <c r="F77" s="584">
        <v>5</v>
      </c>
      <c r="G77" s="584">
        <v>5</v>
      </c>
      <c r="H77" s="584">
        <v>5</v>
      </c>
      <c r="I77" s="584">
        <v>20</v>
      </c>
      <c r="J77" s="584">
        <v>42</v>
      </c>
      <c r="K77" s="584">
        <v>60</v>
      </c>
      <c r="L77" s="584">
        <v>70</v>
      </c>
      <c r="M77" s="584">
        <v>70</v>
      </c>
      <c r="N77" s="584">
        <v>80</v>
      </c>
      <c r="O77" s="584">
        <v>80</v>
      </c>
      <c r="P77" s="584">
        <v>80</v>
      </c>
      <c r="Q77" s="584">
        <v>80</v>
      </c>
      <c r="R77" s="584">
        <v>100</v>
      </c>
      <c r="S77" s="584">
        <v>100</v>
      </c>
      <c r="T77" s="584">
        <v>100</v>
      </c>
      <c r="U77" s="584">
        <v>100</v>
      </c>
      <c r="V77" s="584">
        <v>100</v>
      </c>
      <c r="W77" s="584">
        <v>100</v>
      </c>
      <c r="X77" s="584">
        <v>80</v>
      </c>
      <c r="Y77" s="584">
        <v>80</v>
      </c>
      <c r="Z77" s="584">
        <v>80</v>
      </c>
      <c r="AA77" s="584">
        <v>80</v>
      </c>
      <c r="AB77" s="585">
        <v>80</v>
      </c>
      <c r="AC77" s="584">
        <f t="shared" si="60"/>
        <v>5</v>
      </c>
      <c r="AD77" s="584">
        <f t="shared" si="60"/>
        <v>5</v>
      </c>
      <c r="AE77" s="584">
        <f t="shared" si="60"/>
        <v>20</v>
      </c>
      <c r="AF77" s="584">
        <f t="shared" si="60"/>
        <v>42</v>
      </c>
      <c r="AG77" s="584">
        <f t="shared" si="60"/>
        <v>60</v>
      </c>
      <c r="AH77" s="584">
        <f t="shared" si="60"/>
        <v>70</v>
      </c>
      <c r="AI77" s="584">
        <f t="shared" si="60"/>
        <v>70</v>
      </c>
      <c r="AJ77" s="584">
        <f t="shared" si="60"/>
        <v>80</v>
      </c>
      <c r="AK77" s="584">
        <f t="shared" si="60"/>
        <v>80</v>
      </c>
      <c r="AL77" s="584">
        <f t="shared" si="60"/>
        <v>80</v>
      </c>
      <c r="AM77" s="584">
        <f t="shared" si="61"/>
        <v>80</v>
      </c>
      <c r="AN77" s="584">
        <f t="shared" si="61"/>
        <v>80</v>
      </c>
      <c r="AO77" s="584">
        <f t="shared" si="61"/>
        <v>80</v>
      </c>
      <c r="AP77" s="585">
        <f t="shared" si="61"/>
        <v>80</v>
      </c>
      <c r="AQ77" s="137">
        <v>37</v>
      </c>
    </row>
    <row r="78" spans="1:43" x14ac:dyDescent="0.2">
      <c r="A78" s="22" t="s">
        <v>164</v>
      </c>
      <c r="B78" s="582">
        <f t="shared" ref="B78:AB78" si="63">MIN(80,IF(B13="Deploy",80,MAX(0,B77-$B$82)))</f>
        <v>0</v>
      </c>
      <c r="C78" s="582">
        <f t="shared" si="63"/>
        <v>0</v>
      </c>
      <c r="D78" s="582">
        <f t="shared" si="63"/>
        <v>0</v>
      </c>
      <c r="E78" s="582">
        <f t="shared" si="63"/>
        <v>0</v>
      </c>
      <c r="F78" s="582">
        <f t="shared" si="63"/>
        <v>0</v>
      </c>
      <c r="G78" s="582">
        <f t="shared" si="63"/>
        <v>0</v>
      </c>
      <c r="H78" s="582">
        <f t="shared" si="63"/>
        <v>0</v>
      </c>
      <c r="I78" s="582">
        <f t="shared" si="63"/>
        <v>1.6165667710312981</v>
      </c>
      <c r="J78" s="582">
        <f t="shared" si="63"/>
        <v>23.616566771031298</v>
      </c>
      <c r="K78" s="582">
        <f t="shared" si="63"/>
        <v>41.616566771031302</v>
      </c>
      <c r="L78" s="582">
        <f t="shared" si="63"/>
        <v>51.616566771031302</v>
      </c>
      <c r="M78" s="582">
        <f t="shared" si="63"/>
        <v>51.616566771031302</v>
      </c>
      <c r="N78" s="582">
        <f t="shared" si="63"/>
        <v>61.616566771031302</v>
      </c>
      <c r="O78" s="582">
        <f t="shared" si="63"/>
        <v>61.616566771031302</v>
      </c>
      <c r="P78" s="582">
        <f t="shared" si="63"/>
        <v>61.616566771031302</v>
      </c>
      <c r="Q78" s="582">
        <f t="shared" si="63"/>
        <v>61.616566771031302</v>
      </c>
      <c r="R78" s="582">
        <f t="shared" si="63"/>
        <v>80</v>
      </c>
      <c r="S78" s="582">
        <f t="shared" si="63"/>
        <v>80</v>
      </c>
      <c r="T78" s="582">
        <f t="shared" si="63"/>
        <v>80</v>
      </c>
      <c r="U78" s="582">
        <f t="shared" si="63"/>
        <v>80</v>
      </c>
      <c r="V78" s="582">
        <f t="shared" si="63"/>
        <v>80</v>
      </c>
      <c r="W78" s="582">
        <f t="shared" si="63"/>
        <v>80</v>
      </c>
      <c r="X78" s="582">
        <f t="shared" si="63"/>
        <v>61.616566771031302</v>
      </c>
      <c r="Y78" s="582">
        <f t="shared" si="63"/>
        <v>61.616566771031302</v>
      </c>
      <c r="Z78" s="582">
        <f t="shared" si="63"/>
        <v>61.616566771031302</v>
      </c>
      <c r="AA78" s="582">
        <f t="shared" si="63"/>
        <v>61.616566771031302</v>
      </c>
      <c r="AB78" s="583">
        <f t="shared" si="63"/>
        <v>61.616566771031302</v>
      </c>
      <c r="AC78" s="582">
        <f t="shared" si="60"/>
        <v>0</v>
      </c>
      <c r="AD78" s="582">
        <f t="shared" si="60"/>
        <v>0</v>
      </c>
      <c r="AE78" s="582">
        <f t="shared" si="60"/>
        <v>1.6165667710312981</v>
      </c>
      <c r="AF78" s="582">
        <f t="shared" si="60"/>
        <v>23.616566771031298</v>
      </c>
      <c r="AG78" s="582">
        <f t="shared" si="60"/>
        <v>41.616566771031302</v>
      </c>
      <c r="AH78" s="582">
        <f t="shared" si="60"/>
        <v>51.616566771031302</v>
      </c>
      <c r="AI78" s="582">
        <f t="shared" si="60"/>
        <v>51.616566771031302</v>
      </c>
      <c r="AJ78" s="582">
        <f t="shared" si="60"/>
        <v>61.616566771031302</v>
      </c>
      <c r="AK78" s="582">
        <f t="shared" si="60"/>
        <v>61.616566771031302</v>
      </c>
      <c r="AL78" s="582">
        <f t="shared" si="60"/>
        <v>61.616566771031302</v>
      </c>
      <c r="AM78" s="582">
        <f t="shared" si="61"/>
        <v>61.616566771031302</v>
      </c>
      <c r="AN78" s="582">
        <f t="shared" si="61"/>
        <v>61.616566771031302</v>
      </c>
      <c r="AO78" s="582">
        <f t="shared" si="61"/>
        <v>61.616566771031302</v>
      </c>
      <c r="AP78" s="583">
        <f t="shared" si="61"/>
        <v>61.616566771031302</v>
      </c>
      <c r="AQ78" s="124">
        <f>MIN(80,IF(AQ3="Deploy",80,MAX(0,AQ77-$B$82)))</f>
        <v>18.616566771031298</v>
      </c>
    </row>
    <row r="79" spans="1:43" ht="12.75" thickBot="1" x14ac:dyDescent="0.25">
      <c r="A79" s="23" t="s">
        <v>165</v>
      </c>
      <c r="B79" s="24">
        <f t="shared" ref="B79:AB79" si="64">MIN(60,IF(B14="Deploy",60,MAX(0,B77-$B$81)))</f>
        <v>0</v>
      </c>
      <c r="C79" s="24">
        <f t="shared" si="64"/>
        <v>0</v>
      </c>
      <c r="D79" s="24">
        <f t="shared" si="64"/>
        <v>0</v>
      </c>
      <c r="E79" s="24">
        <f t="shared" si="64"/>
        <v>0</v>
      </c>
      <c r="F79" s="24">
        <f t="shared" si="64"/>
        <v>0</v>
      </c>
      <c r="G79" s="24">
        <f t="shared" si="64"/>
        <v>0</v>
      </c>
      <c r="H79" s="24">
        <f t="shared" si="64"/>
        <v>0</v>
      </c>
      <c r="I79" s="24">
        <f t="shared" si="64"/>
        <v>0</v>
      </c>
      <c r="J79" s="24">
        <f t="shared" si="64"/>
        <v>5.2331335420625962</v>
      </c>
      <c r="K79" s="24">
        <f t="shared" si="64"/>
        <v>23.233133542062596</v>
      </c>
      <c r="L79" s="24">
        <f t="shared" si="64"/>
        <v>33.233133542062596</v>
      </c>
      <c r="M79" s="24">
        <f t="shared" si="64"/>
        <v>33.233133542062596</v>
      </c>
      <c r="N79" s="24">
        <f t="shared" si="64"/>
        <v>43.233133542062596</v>
      </c>
      <c r="O79" s="24">
        <f t="shared" si="64"/>
        <v>43.233133542062596</v>
      </c>
      <c r="P79" s="24">
        <f t="shared" si="64"/>
        <v>43.233133542062596</v>
      </c>
      <c r="Q79" s="24">
        <f t="shared" si="64"/>
        <v>43.233133542062596</v>
      </c>
      <c r="R79" s="24">
        <f t="shared" si="64"/>
        <v>60</v>
      </c>
      <c r="S79" s="24">
        <f t="shared" si="64"/>
        <v>60</v>
      </c>
      <c r="T79" s="24">
        <f t="shared" si="64"/>
        <v>60</v>
      </c>
      <c r="U79" s="24">
        <f t="shared" si="64"/>
        <v>60</v>
      </c>
      <c r="V79" s="24">
        <f t="shared" si="64"/>
        <v>60</v>
      </c>
      <c r="W79" s="24">
        <f t="shared" si="64"/>
        <v>60</v>
      </c>
      <c r="X79" s="24">
        <f t="shared" si="64"/>
        <v>43.233133542062596</v>
      </c>
      <c r="Y79" s="24">
        <f t="shared" si="64"/>
        <v>43.233133542062596</v>
      </c>
      <c r="Z79" s="24">
        <f t="shared" si="64"/>
        <v>43.233133542062596</v>
      </c>
      <c r="AA79" s="24">
        <f t="shared" si="64"/>
        <v>43.233133542062596</v>
      </c>
      <c r="AB79" s="25">
        <f t="shared" si="64"/>
        <v>43.233133542062596</v>
      </c>
      <c r="AC79" s="24">
        <f t="shared" si="60"/>
        <v>0</v>
      </c>
      <c r="AD79" s="24">
        <f t="shared" si="60"/>
        <v>0</v>
      </c>
      <c r="AE79" s="24">
        <f t="shared" si="60"/>
        <v>0</v>
      </c>
      <c r="AF79" s="24">
        <f t="shared" si="60"/>
        <v>5.2331335420625962</v>
      </c>
      <c r="AG79" s="24">
        <f t="shared" si="60"/>
        <v>23.233133542062596</v>
      </c>
      <c r="AH79" s="24">
        <f t="shared" si="60"/>
        <v>33.233133542062596</v>
      </c>
      <c r="AI79" s="24">
        <f t="shared" si="60"/>
        <v>33.233133542062596</v>
      </c>
      <c r="AJ79" s="24">
        <f t="shared" si="60"/>
        <v>43.233133542062596</v>
      </c>
      <c r="AK79" s="24">
        <f t="shared" si="60"/>
        <v>43.233133542062596</v>
      </c>
      <c r="AL79" s="24">
        <f t="shared" si="60"/>
        <v>43.233133542062596</v>
      </c>
      <c r="AM79" s="24">
        <f t="shared" si="61"/>
        <v>43.233133542062596</v>
      </c>
      <c r="AN79" s="24">
        <f t="shared" si="61"/>
        <v>43.233133542062596</v>
      </c>
      <c r="AO79" s="24">
        <f t="shared" si="61"/>
        <v>43.233133542062596</v>
      </c>
      <c r="AP79" s="25">
        <f t="shared" si="61"/>
        <v>43.233133542062596</v>
      </c>
      <c r="AQ79" s="126">
        <f>MIN(60,IF(AQ4="Deploy",60,MAX(0,AQ77-$B$81)))</f>
        <v>0.23313354206259618</v>
      </c>
    </row>
    <row r="80" spans="1:43" ht="12.75" thickBot="1" x14ac:dyDescent="0.25">
      <c r="A80" s="264" t="s">
        <v>166</v>
      </c>
      <c r="B80" s="265">
        <v>37</v>
      </c>
      <c r="C80" s="265">
        <v>37</v>
      </c>
      <c r="D80" s="265">
        <v>37</v>
      </c>
      <c r="E80" s="265">
        <v>37</v>
      </c>
      <c r="F80" s="265">
        <v>37</v>
      </c>
      <c r="G80" s="265">
        <v>37</v>
      </c>
      <c r="H80" s="265">
        <v>46</v>
      </c>
      <c r="I80" s="265">
        <v>54</v>
      </c>
      <c r="J80" s="265">
        <v>61</v>
      </c>
      <c r="K80" s="265">
        <v>63</v>
      </c>
      <c r="L80" s="265">
        <v>75</v>
      </c>
      <c r="M80" s="265">
        <v>85</v>
      </c>
      <c r="N80" s="265">
        <v>85</v>
      </c>
      <c r="O80" s="265">
        <v>85</v>
      </c>
      <c r="P80" s="265">
        <v>85</v>
      </c>
      <c r="Q80" s="265">
        <v>85</v>
      </c>
      <c r="R80" s="265">
        <v>100</v>
      </c>
      <c r="S80" s="265">
        <v>100</v>
      </c>
      <c r="T80" s="265">
        <v>100</v>
      </c>
      <c r="U80" s="265">
        <v>100</v>
      </c>
      <c r="V80" s="265">
        <v>100</v>
      </c>
      <c r="W80" s="265">
        <v>100</v>
      </c>
      <c r="X80" s="265">
        <v>94</v>
      </c>
      <c r="Y80" s="265">
        <v>91</v>
      </c>
      <c r="Z80" s="265">
        <v>85</v>
      </c>
      <c r="AA80" s="265">
        <v>84</v>
      </c>
      <c r="AB80" s="266">
        <v>81</v>
      </c>
      <c r="AC80" s="265">
        <v>37</v>
      </c>
      <c r="AD80" s="265">
        <v>46</v>
      </c>
      <c r="AE80" s="265">
        <v>54</v>
      </c>
      <c r="AF80" s="265">
        <v>61</v>
      </c>
      <c r="AG80" s="265">
        <v>63</v>
      </c>
      <c r="AH80" s="265">
        <v>75</v>
      </c>
      <c r="AI80" s="265">
        <v>85</v>
      </c>
      <c r="AJ80" s="265">
        <v>85</v>
      </c>
      <c r="AK80" s="265">
        <v>85</v>
      </c>
      <c r="AL80" s="265">
        <v>85</v>
      </c>
      <c r="AM80" s="265">
        <v>91</v>
      </c>
      <c r="AN80" s="265">
        <v>85</v>
      </c>
      <c r="AO80" s="265">
        <v>84</v>
      </c>
      <c r="AP80" s="266">
        <v>81</v>
      </c>
      <c r="AQ80" s="267">
        <v>37</v>
      </c>
    </row>
    <row r="81" spans="1:28" x14ac:dyDescent="0.2">
      <c r="A81" s="80" t="s">
        <v>167</v>
      </c>
      <c r="B81" s="81">
        <f t="array" ref="B81">SQRT(SUM(POWER(AVERAGE(B77:AB77)-(B77:AB77),2))/COUNT(B77:AB77))*1</f>
        <v>36.766866457937404</v>
      </c>
    </row>
    <row r="82" spans="1:28" ht="12.75" thickBot="1" x14ac:dyDescent="0.25">
      <c r="A82" s="82" t="s">
        <v>168</v>
      </c>
      <c r="B82" s="83">
        <f>B81/2</f>
        <v>18.383433228968702</v>
      </c>
    </row>
    <row r="83" spans="1:28" ht="12.75" thickBo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2.75" thickBot="1" x14ac:dyDescent="0.25">
      <c r="A84" s="745" t="s">
        <v>169</v>
      </c>
      <c r="B84" s="746"/>
      <c r="D84" s="30"/>
      <c r="E84" s="30"/>
      <c r="F84" s="30"/>
      <c r="G84" s="30"/>
      <c r="H84" s="30"/>
    </row>
    <row r="85" spans="1:28" ht="12.75" thickBot="1" x14ac:dyDescent="0.25">
      <c r="A85" s="747" t="s">
        <v>170</v>
      </c>
      <c r="B85" s="748"/>
      <c r="D85" s="30"/>
      <c r="E85" s="30"/>
      <c r="F85" s="30"/>
      <c r="G85" s="30"/>
      <c r="H85" s="30"/>
    </row>
    <row r="86" spans="1:28" ht="12.75" thickTop="1" x14ac:dyDescent="0.2">
      <c r="A86" s="26" t="s">
        <v>171</v>
      </c>
      <c r="B86" s="27">
        <v>6</v>
      </c>
      <c r="D86" s="28"/>
    </row>
    <row r="87" spans="1:28" x14ac:dyDescent="0.2">
      <c r="A87" s="31" t="s">
        <v>172</v>
      </c>
      <c r="B87" s="586">
        <v>6</v>
      </c>
      <c r="D87" s="28"/>
    </row>
    <row r="88" spans="1:28" x14ac:dyDescent="0.2">
      <c r="A88" s="26" t="s">
        <v>173</v>
      </c>
      <c r="B88" s="27">
        <v>3</v>
      </c>
      <c r="D88" s="28"/>
      <c r="H88" s="30"/>
    </row>
    <row r="89" spans="1:28" x14ac:dyDescent="0.2">
      <c r="A89" s="31" t="s">
        <v>174</v>
      </c>
      <c r="B89" s="586">
        <v>3</v>
      </c>
      <c r="D89" s="28"/>
    </row>
    <row r="90" spans="1:28" x14ac:dyDescent="0.2">
      <c r="A90" s="31" t="s">
        <v>175</v>
      </c>
      <c r="B90" s="587">
        <v>1</v>
      </c>
      <c r="D90" s="33"/>
      <c r="F90" s="29"/>
      <c r="G90" s="30"/>
      <c r="H90" s="30"/>
    </row>
    <row r="91" spans="1:28" x14ac:dyDescent="0.2">
      <c r="A91" s="31" t="s">
        <v>176</v>
      </c>
      <c r="B91" s="587">
        <v>3</v>
      </c>
      <c r="D91" s="33"/>
      <c r="F91" s="32"/>
      <c r="G91" s="30"/>
      <c r="H91" s="30"/>
    </row>
    <row r="92" spans="1:28" x14ac:dyDescent="0.2">
      <c r="A92" s="31" t="s">
        <v>177</v>
      </c>
      <c r="B92" s="587">
        <v>6</v>
      </c>
      <c r="D92" s="33"/>
      <c r="F92" s="28"/>
      <c r="G92" s="30"/>
      <c r="H92" s="30"/>
    </row>
    <row r="93" spans="1:28" x14ac:dyDescent="0.2">
      <c r="A93" s="31" t="s">
        <v>178</v>
      </c>
      <c r="B93" s="586">
        <v>6</v>
      </c>
      <c r="D93" s="33"/>
      <c r="F93" s="28"/>
      <c r="G93" s="30"/>
    </row>
    <row r="94" spans="1:28" x14ac:dyDescent="0.2">
      <c r="A94" s="31" t="s">
        <v>179</v>
      </c>
      <c r="B94" s="587">
        <v>1</v>
      </c>
      <c r="D94" s="33"/>
      <c r="F94" s="28"/>
      <c r="G94" s="30"/>
    </row>
    <row r="95" spans="1:28" x14ac:dyDescent="0.2">
      <c r="A95" s="31" t="s">
        <v>180</v>
      </c>
      <c r="B95" s="588">
        <v>3</v>
      </c>
      <c r="D95" s="33"/>
      <c r="F95" s="28"/>
      <c r="G95" s="30"/>
      <c r="H95" s="30"/>
    </row>
    <row r="96" spans="1:28" x14ac:dyDescent="0.2">
      <c r="A96" s="31" t="s">
        <v>181</v>
      </c>
      <c r="B96" s="588">
        <v>3</v>
      </c>
      <c r="D96" s="33"/>
      <c r="F96" s="28"/>
      <c r="G96" s="30"/>
    </row>
    <row r="97" spans="1:50" x14ac:dyDescent="0.2">
      <c r="A97" s="31" t="s">
        <v>182</v>
      </c>
      <c r="B97" s="589">
        <v>3</v>
      </c>
      <c r="D97" s="33"/>
      <c r="F97" s="28"/>
      <c r="G97" s="30"/>
      <c r="H97" s="30"/>
      <c r="AB97" s="39"/>
    </row>
    <row r="98" spans="1:50" ht="12.75" thickBot="1" x14ac:dyDescent="0.25">
      <c r="A98" s="34" t="s">
        <v>183</v>
      </c>
      <c r="B98" s="35">
        <v>3</v>
      </c>
    </row>
    <row r="99" spans="1:50" ht="12.75" thickBot="1" x14ac:dyDescent="0.25"/>
    <row r="100" spans="1:50" ht="12.75" thickBot="1" x14ac:dyDescent="0.25">
      <c r="A100" s="745" t="s">
        <v>184</v>
      </c>
      <c r="B100" s="746"/>
      <c r="AW100" s="52"/>
      <c r="AX100" s="52"/>
    </row>
    <row r="101" spans="1:50" x14ac:dyDescent="0.2">
      <c r="A101" s="110" t="s">
        <v>185</v>
      </c>
      <c r="B101" s="111" t="s">
        <v>186</v>
      </c>
      <c r="C101" s="111" t="s">
        <v>186</v>
      </c>
      <c r="D101" s="111" t="s">
        <v>186</v>
      </c>
      <c r="E101" s="111"/>
      <c r="F101" s="111" t="s">
        <v>186</v>
      </c>
      <c r="G101" s="111" t="s">
        <v>186</v>
      </c>
      <c r="H101" s="111" t="s">
        <v>186</v>
      </c>
      <c r="I101" s="111" t="s">
        <v>186</v>
      </c>
      <c r="J101" s="111"/>
      <c r="K101" s="111"/>
      <c r="L101" s="111"/>
      <c r="M101" s="111"/>
      <c r="N101" s="111" t="s">
        <v>186</v>
      </c>
      <c r="O101" s="111" t="s">
        <v>186</v>
      </c>
      <c r="P101" s="111"/>
      <c r="Q101" s="111"/>
      <c r="R101" s="111"/>
      <c r="S101" s="111"/>
      <c r="T101" s="111"/>
      <c r="U101" s="111"/>
      <c r="V101" s="111"/>
      <c r="W101" s="111"/>
      <c r="X101" s="111"/>
      <c r="Y101" s="111" t="s">
        <v>186</v>
      </c>
      <c r="Z101" s="111" t="s">
        <v>186</v>
      </c>
      <c r="AA101" s="111" t="s">
        <v>186</v>
      </c>
      <c r="AB101" s="111" t="s">
        <v>186</v>
      </c>
      <c r="AC101" s="112"/>
      <c r="AD101" s="112"/>
      <c r="AE101" s="112"/>
      <c r="AF101" s="112"/>
      <c r="AG101" s="112"/>
      <c r="AH101" s="112"/>
      <c r="AI101" s="112"/>
      <c r="AJ101" s="112"/>
      <c r="AK101" s="112"/>
      <c r="AL101" s="112"/>
      <c r="AM101" s="112"/>
      <c r="AN101" s="112"/>
      <c r="AO101" s="112"/>
      <c r="AP101" s="112"/>
      <c r="AQ101" s="113" t="s">
        <v>186</v>
      </c>
    </row>
    <row r="102" spans="1:50" ht="12.75" thickBot="1" x14ac:dyDescent="0.25">
      <c r="A102" s="82" t="s">
        <v>187</v>
      </c>
      <c r="B102" s="114"/>
      <c r="C102" s="114"/>
      <c r="D102" s="114"/>
      <c r="E102" s="114"/>
      <c r="F102" s="114"/>
      <c r="G102" s="114"/>
      <c r="H102" s="114"/>
      <c r="I102" s="114"/>
      <c r="J102" s="114"/>
      <c r="K102" s="114"/>
      <c r="L102" s="114"/>
      <c r="M102" s="114"/>
      <c r="N102" s="114"/>
      <c r="O102" s="114"/>
      <c r="P102" s="114"/>
      <c r="Q102" s="114"/>
      <c r="R102" s="114" t="s">
        <v>186</v>
      </c>
      <c r="S102" s="114" t="s">
        <v>186</v>
      </c>
      <c r="T102" s="114" t="s">
        <v>186</v>
      </c>
      <c r="U102" s="114" t="s">
        <v>186</v>
      </c>
      <c r="V102" s="114" t="s">
        <v>186</v>
      </c>
      <c r="W102" s="114" t="s">
        <v>186</v>
      </c>
      <c r="X102" s="114"/>
      <c r="Y102" s="114"/>
      <c r="Z102" s="114"/>
      <c r="AA102" s="114"/>
      <c r="AB102" s="114"/>
      <c r="AC102" s="115" t="s">
        <v>186</v>
      </c>
      <c r="AD102" s="115" t="s">
        <v>186</v>
      </c>
      <c r="AE102" s="115" t="s">
        <v>186</v>
      </c>
      <c r="AF102" s="115" t="s">
        <v>186</v>
      </c>
      <c r="AG102" s="115" t="s">
        <v>186</v>
      </c>
      <c r="AH102" s="115" t="s">
        <v>186</v>
      </c>
      <c r="AI102" s="115" t="s">
        <v>186</v>
      </c>
      <c r="AJ102" s="115" t="s">
        <v>186</v>
      </c>
      <c r="AK102" s="115" t="s">
        <v>186</v>
      </c>
      <c r="AL102" s="115" t="s">
        <v>186</v>
      </c>
      <c r="AM102" s="115" t="s">
        <v>186</v>
      </c>
      <c r="AN102" s="115" t="s">
        <v>186</v>
      </c>
      <c r="AO102" s="115" t="s">
        <v>186</v>
      </c>
      <c r="AP102" s="115" t="s">
        <v>186</v>
      </c>
      <c r="AQ102" s="36"/>
    </row>
    <row r="103" spans="1:50" ht="12.75" thickBot="1" x14ac:dyDescent="0.25"/>
    <row r="104" spans="1:50" ht="13.5" thickBot="1" x14ac:dyDescent="0.25">
      <c r="A104" s="377" t="s">
        <v>188</v>
      </c>
      <c r="B104" s="736" t="s">
        <v>189</v>
      </c>
      <c r="C104" s="737"/>
      <c r="D104" s="738" t="s">
        <v>190</v>
      </c>
      <c r="E104" s="739"/>
      <c r="F104" s="740" t="s">
        <v>191</v>
      </c>
      <c r="G104" s="741"/>
      <c r="I104" s="260" t="s">
        <v>192</v>
      </c>
    </row>
    <row r="105" spans="1:50" ht="12.75" x14ac:dyDescent="0.2">
      <c r="A105" s="378" t="s">
        <v>193</v>
      </c>
      <c r="B105" s="271"/>
      <c r="C105" s="272"/>
      <c r="D105" s="272"/>
      <c r="E105" s="272"/>
      <c r="F105" s="272"/>
      <c r="G105" s="273"/>
      <c r="I105" s="144" t="s">
        <v>44</v>
      </c>
    </row>
    <row r="106" spans="1:50" x14ac:dyDescent="0.2">
      <c r="A106" s="379" t="s">
        <v>194</v>
      </c>
      <c r="B106" s="590">
        <v>2</v>
      </c>
      <c r="C106" s="590"/>
      <c r="D106" s="591">
        <v>1</v>
      </c>
      <c r="E106" s="591"/>
      <c r="F106" s="592"/>
      <c r="G106" s="593">
        <v>0</v>
      </c>
    </row>
    <row r="107" spans="1:50" x14ac:dyDescent="0.2">
      <c r="A107" s="379" t="s">
        <v>195</v>
      </c>
      <c r="B107" s="594">
        <v>2</v>
      </c>
      <c r="C107" s="253"/>
      <c r="D107" s="595">
        <v>1</v>
      </c>
      <c r="E107" s="595"/>
      <c r="F107" s="596"/>
      <c r="G107" s="597">
        <v>0</v>
      </c>
    </row>
    <row r="108" spans="1:50" x14ac:dyDescent="0.2">
      <c r="A108" s="380" t="str">
        <f t="shared" ref="A108:A121" si="65">A38</f>
        <v>Integrated Mission Systems</v>
      </c>
      <c r="B108" s="499"/>
      <c r="C108" s="598"/>
      <c r="D108" s="598"/>
      <c r="E108" s="598"/>
      <c r="F108" s="598"/>
      <c r="G108" s="599"/>
    </row>
    <row r="109" spans="1:50" x14ac:dyDescent="0.2">
      <c r="A109" s="379" t="str">
        <f t="shared" si="65"/>
        <v>Ready MH-60R Command Control Communication Mission Systems (C)</v>
      </c>
      <c r="B109" s="233">
        <v>2</v>
      </c>
      <c r="C109" s="233"/>
      <c r="D109" s="235">
        <v>1</v>
      </c>
      <c r="E109" s="235"/>
      <c r="F109" s="236"/>
      <c r="G109" s="234">
        <v>0</v>
      </c>
    </row>
    <row r="110" spans="1:50" x14ac:dyDescent="0.2">
      <c r="A110" s="379" t="str">
        <f t="shared" si="65"/>
        <v>Ready MH-60R Hawk Link Mission Systems (D)</v>
      </c>
      <c r="B110" s="590">
        <v>2</v>
      </c>
      <c r="C110" s="233"/>
      <c r="D110" s="591">
        <v>1</v>
      </c>
      <c r="E110" s="591"/>
      <c r="F110" s="592"/>
      <c r="G110" s="234">
        <v>0</v>
      </c>
    </row>
    <row r="111" spans="1:50" x14ac:dyDescent="0.2">
      <c r="A111" s="379" t="str">
        <f t="shared" si="65"/>
        <v>Ready MH-60R ASUW Mission Systems (E)</v>
      </c>
      <c r="B111" s="590">
        <v>2</v>
      </c>
      <c r="C111" s="233"/>
      <c r="D111" s="591">
        <v>1</v>
      </c>
      <c r="E111" s="591"/>
      <c r="F111" s="592"/>
      <c r="G111" s="234">
        <v>0</v>
      </c>
    </row>
    <row r="112" spans="1:50" x14ac:dyDescent="0.2">
      <c r="A112" s="379" t="str">
        <f t="shared" si="65"/>
        <v>Ready MH-60R ASW Mission Systems (F)</v>
      </c>
      <c r="B112" s="590">
        <v>2</v>
      </c>
      <c r="C112" s="233"/>
      <c r="D112" s="591">
        <v>1</v>
      </c>
      <c r="E112" s="591"/>
      <c r="F112" s="592"/>
      <c r="G112" s="234">
        <v>0</v>
      </c>
    </row>
    <row r="113" spans="1:7" x14ac:dyDescent="0.2">
      <c r="A113" s="379" t="str">
        <f t="shared" si="65"/>
        <v>Ready MH-60R Ordnance Mission Systems (G)</v>
      </c>
      <c r="B113" s="590">
        <v>2</v>
      </c>
      <c r="C113" s="233"/>
      <c r="D113" s="591">
        <v>1</v>
      </c>
      <c r="E113" s="591"/>
      <c r="F113" s="592"/>
      <c r="G113" s="593">
        <v>0</v>
      </c>
    </row>
    <row r="114" spans="1:7" x14ac:dyDescent="0.2">
      <c r="A114" s="379" t="str">
        <f t="shared" si="65"/>
        <v>Ready MH-60R Survivability Mission Systems (H)</v>
      </c>
      <c r="B114" s="594">
        <v>2</v>
      </c>
      <c r="C114" s="590"/>
      <c r="D114" s="595">
        <v>1</v>
      </c>
      <c r="E114" s="595"/>
      <c r="F114" s="596"/>
      <c r="G114" s="597">
        <v>0</v>
      </c>
    </row>
    <row r="115" spans="1:7" x14ac:dyDescent="0.2">
      <c r="A115" s="379" t="str">
        <f t="shared" si="65"/>
        <v>Ready MH-60R Basic Mission Systems (I)</v>
      </c>
      <c r="B115" s="594">
        <v>2</v>
      </c>
      <c r="C115" s="590"/>
      <c r="D115" s="595">
        <v>1</v>
      </c>
      <c r="E115" s="595"/>
      <c r="F115" s="596"/>
      <c r="G115" s="597">
        <v>0</v>
      </c>
    </row>
    <row r="116" spans="1:7" x14ac:dyDescent="0.2">
      <c r="A116" s="379" t="str">
        <f t="shared" si="65"/>
        <v>Ready MH-60R Extended Mobility Mission Systems (J)</v>
      </c>
      <c r="B116" s="594">
        <v>2</v>
      </c>
      <c r="C116" s="590"/>
      <c r="D116" s="595">
        <v>1</v>
      </c>
      <c r="E116" s="595"/>
      <c r="F116" s="596"/>
      <c r="G116" s="597">
        <v>0</v>
      </c>
    </row>
    <row r="117" spans="1:7" x14ac:dyDescent="0.2">
      <c r="A117" s="379" t="str">
        <f t="shared" si="65"/>
        <v>Ready MH-60R Shipboard Mission Systems (K)</v>
      </c>
      <c r="B117" s="594">
        <v>2</v>
      </c>
      <c r="C117" s="590"/>
      <c r="D117" s="595">
        <v>1</v>
      </c>
      <c r="E117" s="595"/>
      <c r="F117" s="596"/>
      <c r="G117" s="597">
        <v>0</v>
      </c>
    </row>
    <row r="118" spans="1:7" x14ac:dyDescent="0.2">
      <c r="A118" s="379" t="str">
        <f t="shared" si="65"/>
        <v>Ready MH-60R IMC Flight Mission Systems (L)</v>
      </c>
      <c r="B118" s="594">
        <v>2</v>
      </c>
      <c r="C118" s="590"/>
      <c r="D118" s="595">
        <v>1</v>
      </c>
      <c r="E118" s="595"/>
      <c r="F118" s="596"/>
      <c r="G118" s="597">
        <v>0</v>
      </c>
    </row>
    <row r="119" spans="1:7" x14ac:dyDescent="0.2">
      <c r="A119" s="381" t="str">
        <f t="shared" si="65"/>
        <v>Non-Integrated Mission Systems</v>
      </c>
      <c r="B119" s="499"/>
      <c r="C119" s="598"/>
      <c r="D119" s="598"/>
      <c r="E119" s="598"/>
      <c r="F119" s="598"/>
      <c r="G119" s="599"/>
    </row>
    <row r="120" spans="1:7" x14ac:dyDescent="0.2">
      <c r="A120" s="379" t="str">
        <f t="shared" si="65"/>
        <v xml:space="preserve">Assigned ALFS </v>
      </c>
      <c r="B120" s="233">
        <v>2</v>
      </c>
      <c r="C120" s="233"/>
      <c r="D120" s="235">
        <v>1</v>
      </c>
      <c r="E120" s="235"/>
      <c r="F120" s="236"/>
      <c r="G120" s="234">
        <v>0</v>
      </c>
    </row>
    <row r="121" spans="1:7" ht="12.75" thickBot="1" x14ac:dyDescent="0.25">
      <c r="A121" s="382" t="str">
        <f t="shared" si="65"/>
        <v xml:space="preserve">Ready ALFS </v>
      </c>
      <c r="B121" s="274">
        <v>2</v>
      </c>
      <c r="C121" s="274"/>
      <c r="D121" s="231">
        <v>1</v>
      </c>
      <c r="E121" s="231"/>
      <c r="F121" s="232"/>
      <c r="G121" s="275">
        <v>0</v>
      </c>
    </row>
    <row r="124" spans="1:7" x14ac:dyDescent="0.2">
      <c r="A124" s="383" t="s">
        <v>196</v>
      </c>
      <c r="B124" s="383" t="s">
        <v>215</v>
      </c>
    </row>
    <row r="125" spans="1:7" x14ac:dyDescent="0.2">
      <c r="A125" s="600" t="s">
        <v>198</v>
      </c>
      <c r="B125" s="601">
        <f>HLOOKUP($B$124,'MH-60R Mission System Summary'!$B$1:$F$12,2,FALSE)</f>
        <v>0.84853598425893939</v>
      </c>
    </row>
    <row r="126" spans="1:7" x14ac:dyDescent="0.2">
      <c r="A126" s="600" t="s">
        <v>142</v>
      </c>
      <c r="B126" s="601">
        <f>HLOOKUP($B$124,'MH-60R Mission System Summary'!$B$1:$F$12,3,FALSE)</f>
        <v>0.6883040568262192</v>
      </c>
    </row>
    <row r="127" spans="1:7" x14ac:dyDescent="0.2">
      <c r="A127" s="600" t="s">
        <v>143</v>
      </c>
      <c r="B127" s="601">
        <f>HLOOKUP($B$124,'MH-60R Mission System Summary'!$B$1:$F$12,4,FALSE)</f>
        <v>0.52404871580322154</v>
      </c>
    </row>
    <row r="128" spans="1:7" x14ac:dyDescent="0.2">
      <c r="A128" s="600" t="s">
        <v>144</v>
      </c>
      <c r="B128" s="601">
        <f>HLOOKUP($B$124,'MH-60R Mission System Summary'!$B$1:$F$12,5,FALSE)</f>
        <v>0.52357122934675926</v>
      </c>
    </row>
    <row r="129" spans="1:2" x14ac:dyDescent="0.2">
      <c r="A129" s="600" t="s">
        <v>145</v>
      </c>
      <c r="B129" s="601">
        <f>HLOOKUP($B$124,'MH-60R Mission System Summary'!$B$1:$F$12,6,FALSE)</f>
        <v>0.36138499630176463</v>
      </c>
    </row>
    <row r="130" spans="1:2" x14ac:dyDescent="0.2">
      <c r="A130" s="600" t="s">
        <v>146</v>
      </c>
      <c r="B130" s="601">
        <f>HLOOKUP($B$124,'MH-60R Mission System Summary'!$B$1:$F$12,7,FALSE)</f>
        <v>0.45211894134322572</v>
      </c>
    </row>
    <row r="131" spans="1:2" x14ac:dyDescent="0.2">
      <c r="A131" s="600" t="s">
        <v>147</v>
      </c>
      <c r="B131" s="601">
        <f>HLOOKUP($B$124,'MH-60R Mission System Summary'!$B$1:$F$12,8,FALSE)</f>
        <v>0.25768352433743513</v>
      </c>
    </row>
    <row r="132" spans="1:2" x14ac:dyDescent="0.2">
      <c r="A132" s="600" t="s">
        <v>148</v>
      </c>
      <c r="B132" s="601">
        <f>HLOOKUP($B$124,'MH-60R Mission System Summary'!$B$1:$F$12,9,FALSE)</f>
        <v>0.85730389595059886</v>
      </c>
    </row>
    <row r="133" spans="1:2" x14ac:dyDescent="0.2">
      <c r="A133" s="600" t="s">
        <v>149</v>
      </c>
      <c r="B133" s="601">
        <f>HLOOKUP($B$124,'MH-60R Mission System Summary'!$B$1:$F$12,10,FALSE)</f>
        <v>0.33273571372135774</v>
      </c>
    </row>
    <row r="134" spans="1:2" x14ac:dyDescent="0.2">
      <c r="A134" s="600" t="s">
        <v>150</v>
      </c>
      <c r="B134" s="601">
        <f>HLOOKUP($B$124,'MH-60R Mission System Summary'!$B$1:$F$12,11,FALSE)</f>
        <v>0.17707512891467975</v>
      </c>
    </row>
    <row r="135" spans="1:2" x14ac:dyDescent="0.2">
      <c r="A135" s="600" t="s">
        <v>151</v>
      </c>
      <c r="B135" s="601">
        <f>HLOOKUP($B$124,'MH-60R Mission System Summary'!$B$1:$F$12,12,FALSE)</f>
        <v>1</v>
      </c>
    </row>
  </sheetData>
  <mergeCells count="29">
    <mergeCell ref="B104:C104"/>
    <mergeCell ref="D104:E104"/>
    <mergeCell ref="F104:G104"/>
    <mergeCell ref="A1:G1"/>
    <mergeCell ref="B16:G16"/>
    <mergeCell ref="Q1:W1"/>
    <mergeCell ref="L9:N9"/>
    <mergeCell ref="L2:O2"/>
    <mergeCell ref="M1:P1"/>
    <mergeCell ref="AC12:AP12"/>
    <mergeCell ref="L6:N6"/>
    <mergeCell ref="L7:N7"/>
    <mergeCell ref="L4:N4"/>
    <mergeCell ref="L5:N5"/>
    <mergeCell ref="AD1:AE1"/>
    <mergeCell ref="U3:W3"/>
    <mergeCell ref="AD16:AF16"/>
    <mergeCell ref="AG16:AI16"/>
    <mergeCell ref="AJ16:AL16"/>
    <mergeCell ref="AM16:AP16"/>
    <mergeCell ref="A100:B100"/>
    <mergeCell ref="A84:B84"/>
    <mergeCell ref="A85:B85"/>
    <mergeCell ref="A74:AQ74"/>
    <mergeCell ref="H16:J16"/>
    <mergeCell ref="K16:M16"/>
    <mergeCell ref="N16:Q16"/>
    <mergeCell ref="R16:W16"/>
    <mergeCell ref="X16:AB16"/>
  </mergeCells>
  <conditionalFormatting sqref="C106:C115 C119:C121">
    <cfRule type="cellIs" dxfId="27" priority="26" operator="equal">
      <formula>B106</formula>
    </cfRule>
  </conditionalFormatting>
  <conditionalFormatting sqref="D106:E115 D119:E121">
    <cfRule type="cellIs" dxfId="26" priority="25" operator="equal">
      <formula>C106</formula>
    </cfRule>
  </conditionalFormatting>
  <conditionalFormatting sqref="E106">
    <cfRule type="cellIs" dxfId="25" priority="24" operator="equal">
      <formula>D106</formula>
    </cfRule>
  </conditionalFormatting>
  <conditionalFormatting sqref="F106">
    <cfRule type="cellIs" dxfId="24" priority="23" operator="equal">
      <formula>E106</formula>
    </cfRule>
  </conditionalFormatting>
  <conditionalFormatting sqref="F107:F115 F119:F121">
    <cfRule type="cellIs" dxfId="23" priority="21" operator="equal">
      <formula>G107</formula>
    </cfRule>
    <cfRule type="cellIs" dxfId="22" priority="22" operator="equal">
      <formula>E107</formula>
    </cfRule>
  </conditionalFormatting>
  <conditionalFormatting sqref="C106:C115">
    <cfRule type="cellIs" dxfId="21" priority="20" operator="equal">
      <formula>B106</formula>
    </cfRule>
  </conditionalFormatting>
  <conditionalFormatting sqref="D106:E115">
    <cfRule type="cellIs" dxfId="20" priority="19" operator="equal">
      <formula>C106</formula>
    </cfRule>
  </conditionalFormatting>
  <conditionalFormatting sqref="E106">
    <cfRule type="cellIs" dxfId="19" priority="18" operator="equal">
      <formula>D106</formula>
    </cfRule>
  </conditionalFormatting>
  <conditionalFormatting sqref="F106">
    <cfRule type="cellIs" dxfId="18" priority="17" operator="equal">
      <formula>E106</formula>
    </cfRule>
  </conditionalFormatting>
  <conditionalFormatting sqref="F107:F115">
    <cfRule type="cellIs" dxfId="17" priority="15" operator="equal">
      <formula>G107</formula>
    </cfRule>
    <cfRule type="cellIs" dxfId="16" priority="16" operator="equal">
      <formula>E107</formula>
    </cfRule>
  </conditionalFormatting>
  <conditionalFormatting sqref="F106">
    <cfRule type="cellIs" dxfId="15" priority="14" operator="equal">
      <formula>E106</formula>
    </cfRule>
  </conditionalFormatting>
  <conditionalFormatting sqref="C106">
    <cfRule type="cellIs" dxfId="14" priority="13" operator="equal">
      <formula>B106</formula>
    </cfRule>
  </conditionalFormatting>
  <conditionalFormatting sqref="D106">
    <cfRule type="cellIs" dxfId="13" priority="12" operator="equal">
      <formula>C106</formula>
    </cfRule>
  </conditionalFormatting>
  <conditionalFormatting sqref="E106">
    <cfRule type="cellIs" dxfId="12" priority="11" operator="equal">
      <formula>D106</formula>
    </cfRule>
  </conditionalFormatting>
  <conditionalFormatting sqref="D106">
    <cfRule type="cellIs" dxfId="11" priority="10" operator="equal">
      <formula>C106</formula>
    </cfRule>
  </conditionalFormatting>
  <conditionalFormatting sqref="E106">
    <cfRule type="cellIs" dxfId="10" priority="9" operator="equal">
      <formula>D106</formula>
    </cfRule>
  </conditionalFormatting>
  <conditionalFormatting sqref="C116:C118">
    <cfRule type="cellIs" dxfId="9" priority="8" operator="equal">
      <formula>B116</formula>
    </cfRule>
  </conditionalFormatting>
  <conditionalFormatting sqref="D116:E118">
    <cfRule type="cellIs" dxfId="8" priority="7" operator="equal">
      <formula>C116</formula>
    </cfRule>
  </conditionalFormatting>
  <conditionalFormatting sqref="F116:F118">
    <cfRule type="cellIs" dxfId="7" priority="5" operator="equal">
      <formula>G116</formula>
    </cfRule>
    <cfRule type="cellIs" dxfId="6" priority="6" operator="equal">
      <formula>E116</formula>
    </cfRule>
  </conditionalFormatting>
  <conditionalFormatting sqref="C116:C118">
    <cfRule type="cellIs" dxfId="5" priority="4" operator="equal">
      <formula>B116</formula>
    </cfRule>
  </conditionalFormatting>
  <conditionalFormatting sqref="D116:E118">
    <cfRule type="cellIs" dxfId="4" priority="3" operator="equal">
      <formula>C116</formula>
    </cfRule>
  </conditionalFormatting>
  <conditionalFormatting sqref="F116:F118">
    <cfRule type="cellIs" dxfId="3" priority="1" operator="equal">
      <formula>G116</formula>
    </cfRule>
    <cfRule type="cellIs" dxfId="2" priority="2" operator="equal">
      <formula>E116</formula>
    </cfRule>
  </conditionalFormatting>
  <hyperlinks>
    <hyperlink ref="H1" location="Inventory!A1" display="Inventory" xr:uid="{00000000-0004-0000-0800-000000000000}"/>
    <hyperlink ref="H2" location="'MH-60R EXP 2 Plane-3 Crew DRRS'!A118" display="AMFOM" xr:uid="{00000000-0004-0000-0800-000001000000}"/>
    <hyperlink ref="I104" location="'MH-60R EXP 2 Plane-3 Crew DRRS'!A1" display="Top" xr:uid="{00000000-0004-0000-0800-000002000000}"/>
    <hyperlink ref="I105" location="Inventory!A1" display="Inventory" xr:uid="{00000000-0004-0000-0800-000003000000}"/>
  </hyperlinks>
  <printOptions horizontalCentered="1" verticalCentered="1"/>
  <pageMargins left="0.5" right="0.25" top="0.5" bottom="0.5" header="0.5" footer="0.5"/>
  <pageSetup scale="31" orientation="landscape" r:id="rId1"/>
  <headerFooter alignWithMargins="0"/>
  <ignoredErrors>
    <ignoredError sqref="B55:AQ63" 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U63"/>
  <sheetViews>
    <sheetView showGridLines="0" zoomScaleNormal="100" zoomScaleSheetLayoutView="100" workbookViewId="0">
      <selection activeCell="H1" sqref="H1"/>
    </sheetView>
  </sheetViews>
  <sheetFormatPr defaultRowHeight="11.25" x14ac:dyDescent="0.2"/>
  <cols>
    <col min="1" max="1" width="55" style="281" customWidth="1"/>
    <col min="2" max="2" width="5.7109375" style="281" customWidth="1"/>
    <col min="3" max="6" width="5.7109375" style="282" customWidth="1"/>
    <col min="7" max="15" width="5.7109375" style="283" customWidth="1"/>
    <col min="16" max="17" width="5.7109375" style="284" customWidth="1"/>
    <col min="18" max="29" width="5.7109375" style="281" customWidth="1"/>
    <col min="30" max="16384" width="9.140625" style="281"/>
  </cols>
  <sheetData>
    <row r="1" spans="1:30" s="278" customFormat="1" ht="18.75" x14ac:dyDescent="0.3">
      <c r="A1" s="777" t="s">
        <v>218</v>
      </c>
      <c r="B1" s="777"/>
      <c r="C1" s="777"/>
      <c r="D1" s="777"/>
      <c r="E1" s="777"/>
      <c r="F1" s="777"/>
      <c r="H1" s="277" t="s">
        <v>44</v>
      </c>
      <c r="L1" s="145" t="s">
        <v>45</v>
      </c>
      <c r="M1" s="778">
        <v>44835</v>
      </c>
      <c r="N1" s="778"/>
      <c r="O1" s="279"/>
      <c r="P1" s="280"/>
      <c r="Q1" s="280"/>
      <c r="AC1" s="372" t="s">
        <v>46</v>
      </c>
      <c r="AD1" s="373">
        <v>6.08</v>
      </c>
    </row>
    <row r="2" spans="1:30" x14ac:dyDescent="0.2">
      <c r="A2" s="42" t="s">
        <v>219</v>
      </c>
      <c r="B2" s="374">
        <v>19</v>
      </c>
      <c r="C2" s="281"/>
    </row>
    <row r="3" spans="1:30" x14ac:dyDescent="0.2">
      <c r="A3" s="42"/>
      <c r="B3" s="374"/>
      <c r="C3" s="281"/>
    </row>
    <row r="4" spans="1:30" x14ac:dyDescent="0.2">
      <c r="C4" s="281"/>
    </row>
    <row r="5" spans="1:30" x14ac:dyDescent="0.2">
      <c r="K5" s="281"/>
      <c r="O5" s="284"/>
      <c r="Q5" s="281"/>
    </row>
    <row r="6" spans="1:30" x14ac:dyDescent="0.2">
      <c r="K6" s="281"/>
      <c r="O6" s="284"/>
      <c r="Q6" s="281"/>
    </row>
    <row r="7" spans="1:30" s="338" customFormat="1" ht="56.25" customHeight="1" x14ac:dyDescent="0.2">
      <c r="A7" s="488" t="s">
        <v>69</v>
      </c>
      <c r="B7" s="604" t="s">
        <v>220</v>
      </c>
      <c r="C7" s="342"/>
      <c r="D7" s="337"/>
      <c r="E7" s="337"/>
      <c r="G7" s="339"/>
      <c r="H7" s="339"/>
      <c r="I7" s="339"/>
      <c r="J7" s="339"/>
      <c r="K7" s="339"/>
      <c r="L7" s="339"/>
      <c r="M7" s="339"/>
      <c r="N7" s="339"/>
      <c r="O7" s="339"/>
      <c r="P7" s="340"/>
      <c r="Q7" s="340"/>
    </row>
    <row r="8" spans="1:30" ht="12" x14ac:dyDescent="0.2">
      <c r="A8" s="488" t="s">
        <v>71</v>
      </c>
      <c r="B8" s="686" t="s">
        <v>221</v>
      </c>
      <c r="C8" s="343"/>
      <c r="K8" s="281"/>
      <c r="O8" s="284"/>
      <c r="Q8" s="281"/>
    </row>
    <row r="9" spans="1:30" ht="12" x14ac:dyDescent="0.2">
      <c r="A9" s="488" t="s">
        <v>114</v>
      </c>
      <c r="B9" s="607">
        <v>1</v>
      </c>
      <c r="C9" s="344"/>
      <c r="K9" s="281"/>
      <c r="O9" s="284"/>
      <c r="Q9" s="281"/>
    </row>
    <row r="10" spans="1:30" ht="12" x14ac:dyDescent="0.2">
      <c r="A10" s="488" t="s">
        <v>115</v>
      </c>
      <c r="B10" s="607" t="s">
        <v>220</v>
      </c>
      <c r="C10" s="345"/>
      <c r="K10" s="281"/>
      <c r="O10" s="284"/>
      <c r="Q10" s="281"/>
    </row>
    <row r="11" spans="1:30" ht="12.75" x14ac:dyDescent="0.2">
      <c r="A11" s="528" t="s">
        <v>134</v>
      </c>
      <c r="B11" s="607"/>
      <c r="C11" s="344"/>
      <c r="K11" s="281"/>
      <c r="O11" s="284"/>
      <c r="Q11" s="281"/>
    </row>
    <row r="12" spans="1:30" ht="12" x14ac:dyDescent="0.2">
      <c r="A12" s="488" t="s">
        <v>135</v>
      </c>
      <c r="B12" s="612" t="s">
        <v>203</v>
      </c>
      <c r="C12" s="346"/>
      <c r="K12" s="281"/>
      <c r="O12" s="284"/>
      <c r="Q12" s="281"/>
    </row>
    <row r="13" spans="1:30" ht="12" x14ac:dyDescent="0.2">
      <c r="A13" s="488" t="s">
        <v>136</v>
      </c>
      <c r="B13" s="612">
        <v>0.75</v>
      </c>
      <c r="C13" s="346"/>
      <c r="K13" s="281"/>
      <c r="O13" s="284"/>
      <c r="Q13" s="281"/>
    </row>
    <row r="14" spans="1:30" ht="12" x14ac:dyDescent="0.2">
      <c r="A14" s="687" t="s">
        <v>222</v>
      </c>
      <c r="B14" s="612">
        <v>0.25</v>
      </c>
      <c r="C14" s="346"/>
      <c r="K14" s="281"/>
      <c r="O14" s="284"/>
      <c r="Q14" s="281"/>
    </row>
    <row r="15" spans="1:30" ht="12.75" x14ac:dyDescent="0.2">
      <c r="A15" s="688" t="s">
        <v>223</v>
      </c>
      <c r="B15" s="689"/>
      <c r="C15" s="347"/>
      <c r="K15" s="281"/>
      <c r="O15" s="284"/>
      <c r="Q15" s="281"/>
    </row>
    <row r="16" spans="1:30" ht="12" x14ac:dyDescent="0.2">
      <c r="A16" s="515" t="s">
        <v>138</v>
      </c>
      <c r="B16" s="690">
        <v>8</v>
      </c>
      <c r="C16" s="341"/>
      <c r="K16" s="281"/>
      <c r="O16" s="284"/>
      <c r="Q16" s="281"/>
    </row>
    <row r="17" spans="1:47" ht="12" x14ac:dyDescent="0.2">
      <c r="A17" s="515" t="s">
        <v>139</v>
      </c>
      <c r="B17" s="690">
        <f>B16*B13</f>
        <v>6</v>
      </c>
      <c r="C17" s="341"/>
      <c r="K17" s="281"/>
      <c r="O17" s="284"/>
      <c r="Q17" s="281"/>
    </row>
    <row r="18" spans="1:47" ht="12" x14ac:dyDescent="0.2">
      <c r="A18" s="691" t="s">
        <v>140</v>
      </c>
      <c r="B18" s="690">
        <f>B16*B14</f>
        <v>2</v>
      </c>
      <c r="C18" s="341"/>
      <c r="K18" s="281"/>
      <c r="O18" s="284"/>
      <c r="Q18" s="281"/>
    </row>
    <row r="19" spans="1:47" ht="12" x14ac:dyDescent="0.2">
      <c r="A19" s="543" t="s">
        <v>141</v>
      </c>
      <c r="B19" s="692"/>
      <c r="C19" s="341"/>
      <c r="K19" s="281"/>
      <c r="O19" s="284"/>
      <c r="Q19" s="281"/>
    </row>
    <row r="20" spans="1:47" ht="12" x14ac:dyDescent="0.2">
      <c r="A20" s="546" t="s">
        <v>142</v>
      </c>
      <c r="B20" s="454">
        <v>2</v>
      </c>
      <c r="C20" s="369"/>
      <c r="K20" s="281"/>
      <c r="O20" s="284"/>
      <c r="Q20" s="281"/>
    </row>
    <row r="21" spans="1:47" ht="12" x14ac:dyDescent="0.2">
      <c r="A21" s="546" t="s">
        <v>143</v>
      </c>
      <c r="B21" s="454">
        <v>2</v>
      </c>
      <c r="C21" s="341"/>
      <c r="K21" s="281"/>
      <c r="O21" s="284"/>
      <c r="Q21" s="281"/>
    </row>
    <row r="22" spans="1:47" ht="12" x14ac:dyDescent="0.2">
      <c r="A22" s="550" t="s">
        <v>144</v>
      </c>
      <c r="B22" s="454">
        <v>2</v>
      </c>
      <c r="C22" s="348"/>
      <c r="K22" s="281"/>
      <c r="O22" s="284"/>
      <c r="Q22" s="281"/>
    </row>
    <row r="23" spans="1:47" ht="12" x14ac:dyDescent="0.2">
      <c r="A23" s="550" t="s">
        <v>145</v>
      </c>
      <c r="B23" s="454">
        <v>2</v>
      </c>
      <c r="C23" s="349"/>
      <c r="K23" s="281"/>
      <c r="O23" s="284"/>
      <c r="Q23" s="281"/>
    </row>
    <row r="24" spans="1:47" ht="12" x14ac:dyDescent="0.2">
      <c r="A24" s="551" t="s">
        <v>146</v>
      </c>
      <c r="B24" s="454">
        <v>2</v>
      </c>
      <c r="C24" s="349"/>
      <c r="K24" s="281"/>
      <c r="O24" s="284"/>
      <c r="Q24" s="281"/>
    </row>
    <row r="25" spans="1:47" ht="12" x14ac:dyDescent="0.2">
      <c r="A25" s="550" t="s">
        <v>147</v>
      </c>
      <c r="B25" s="454">
        <v>2</v>
      </c>
      <c r="C25" s="349"/>
      <c r="K25" s="281"/>
      <c r="O25" s="284"/>
      <c r="Q25" s="281"/>
    </row>
    <row r="26" spans="1:47" ht="12" x14ac:dyDescent="0.2">
      <c r="A26" s="550" t="s">
        <v>148</v>
      </c>
      <c r="B26" s="454">
        <v>2</v>
      </c>
      <c r="C26" s="349"/>
      <c r="K26" s="281"/>
      <c r="O26" s="284"/>
      <c r="Q26" s="281"/>
    </row>
    <row r="27" spans="1:47" ht="12" x14ac:dyDescent="0.2">
      <c r="A27" s="550" t="s">
        <v>149</v>
      </c>
      <c r="B27" s="454">
        <v>2</v>
      </c>
      <c r="C27" s="350"/>
      <c r="K27" s="281"/>
      <c r="O27" s="284"/>
      <c r="Q27" s="281"/>
    </row>
    <row r="28" spans="1:47" ht="12" x14ac:dyDescent="0.2">
      <c r="A28" s="550" t="s">
        <v>150</v>
      </c>
      <c r="B28" s="454">
        <v>2</v>
      </c>
      <c r="C28" s="350"/>
      <c r="K28" s="281"/>
      <c r="O28" s="284"/>
      <c r="Q28" s="281"/>
    </row>
    <row r="29" spans="1:47" ht="12.75" x14ac:dyDescent="0.2">
      <c r="A29" s="552" t="s">
        <v>151</v>
      </c>
      <c r="B29" s="454">
        <v>6</v>
      </c>
      <c r="K29" s="281"/>
      <c r="O29" s="284"/>
      <c r="Q29" s="281"/>
    </row>
    <row r="30" spans="1:47" s="288" customFormat="1" ht="12.75" x14ac:dyDescent="0.2">
      <c r="A30" s="571" t="s">
        <v>156</v>
      </c>
      <c r="B30" s="375"/>
      <c r="C30" s="289"/>
      <c r="D30" s="289"/>
      <c r="E30" s="289"/>
      <c r="F30" s="289"/>
      <c r="G30" s="290"/>
      <c r="H30" s="290"/>
      <c r="I30" s="290"/>
      <c r="J30" s="290"/>
      <c r="K30" s="290"/>
      <c r="L30" s="290"/>
      <c r="M30" s="290"/>
      <c r="N30" s="290"/>
      <c r="O30" s="290"/>
      <c r="P30" s="291"/>
      <c r="Q30" s="291"/>
    </row>
    <row r="31" spans="1:47" ht="12" x14ac:dyDescent="0.2">
      <c r="A31" s="515" t="s">
        <v>157</v>
      </c>
      <c r="B31" s="580">
        <v>0.8</v>
      </c>
      <c r="C31" s="285"/>
      <c r="D31" s="285"/>
      <c r="E31" s="285"/>
      <c r="F31" s="285"/>
      <c r="G31" s="286"/>
      <c r="H31" s="286"/>
      <c r="I31" s="286"/>
      <c r="J31" s="286"/>
      <c r="K31" s="286"/>
      <c r="L31" s="286"/>
      <c r="M31" s="286"/>
      <c r="N31" s="286"/>
      <c r="O31" s="286"/>
      <c r="P31" s="287"/>
      <c r="Q31" s="287"/>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row>
    <row r="32" spans="1:47" ht="12" x14ac:dyDescent="0.2">
      <c r="A32" s="515" t="s">
        <v>158</v>
      </c>
      <c r="B32" s="580">
        <v>0.8</v>
      </c>
      <c r="C32" s="285"/>
      <c r="D32" s="285"/>
      <c r="E32" s="285"/>
      <c r="F32" s="285"/>
      <c r="G32" s="286"/>
      <c r="H32" s="286"/>
      <c r="I32" s="286"/>
      <c r="J32" s="286"/>
      <c r="K32" s="286"/>
      <c r="L32" s="286"/>
      <c r="M32" s="286"/>
      <c r="N32" s="286"/>
      <c r="O32" s="286"/>
      <c r="P32" s="287"/>
      <c r="Q32" s="287"/>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row>
    <row r="33" spans="1:47" s="288" customFormat="1" ht="12" x14ac:dyDescent="0.2">
      <c r="A33" s="515" t="s">
        <v>159</v>
      </c>
      <c r="B33" s="580">
        <v>0.75</v>
      </c>
      <c r="C33" s="289"/>
      <c r="D33" s="289"/>
      <c r="E33" s="289"/>
      <c r="F33" s="289"/>
      <c r="G33" s="290"/>
      <c r="H33" s="290"/>
      <c r="I33" s="290"/>
      <c r="J33" s="290"/>
      <c r="K33" s="290"/>
      <c r="L33" s="290"/>
      <c r="M33" s="290"/>
      <c r="N33" s="290"/>
      <c r="O33" s="290"/>
      <c r="P33" s="291"/>
      <c r="Q33" s="291"/>
    </row>
    <row r="34" spans="1:47" x14ac:dyDescent="0.2">
      <c r="C34" s="285"/>
      <c r="D34" s="285"/>
      <c r="E34" s="285"/>
      <c r="F34" s="285"/>
      <c r="G34" s="286"/>
      <c r="H34" s="286"/>
      <c r="I34" s="286"/>
      <c r="J34" s="286"/>
      <c r="K34" s="286"/>
      <c r="L34" s="286"/>
      <c r="M34" s="286"/>
      <c r="N34" s="286"/>
      <c r="O34" s="286"/>
      <c r="P34" s="287"/>
      <c r="Q34" s="287"/>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row>
    <row r="35" spans="1:47" x14ac:dyDescent="0.2">
      <c r="C35" s="285"/>
      <c r="D35" s="285"/>
      <c r="E35" s="285"/>
      <c r="F35" s="285"/>
      <c r="G35" s="286"/>
      <c r="H35" s="286"/>
      <c r="I35" s="286"/>
      <c r="J35" s="286"/>
      <c r="K35" s="286"/>
      <c r="L35" s="286"/>
      <c r="M35" s="286"/>
      <c r="N35" s="286"/>
      <c r="O35" s="286"/>
      <c r="P35" s="287"/>
      <c r="Q35" s="287"/>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row>
    <row r="36" spans="1:47" x14ac:dyDescent="0.2">
      <c r="C36" s="285"/>
      <c r="D36" s="285"/>
      <c r="E36" s="285"/>
      <c r="F36" s="285"/>
      <c r="G36" s="286"/>
      <c r="H36" s="286"/>
      <c r="I36" s="286"/>
      <c r="J36" s="286"/>
      <c r="K36" s="286"/>
      <c r="L36" s="286"/>
      <c r="M36" s="286"/>
      <c r="N36" s="286"/>
      <c r="O36" s="286"/>
      <c r="P36" s="287"/>
      <c r="Q36" s="287"/>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row>
    <row r="37" spans="1:47" x14ac:dyDescent="0.2">
      <c r="C37" s="285"/>
      <c r="D37" s="285"/>
      <c r="E37" s="285"/>
      <c r="F37" s="285"/>
      <c r="G37" s="286"/>
      <c r="H37" s="286"/>
      <c r="I37" s="286"/>
      <c r="J37" s="286"/>
      <c r="K37" s="286"/>
      <c r="L37" s="286"/>
      <c r="M37" s="286"/>
      <c r="N37" s="286"/>
      <c r="O37" s="286"/>
      <c r="P37" s="287"/>
      <c r="Q37" s="287"/>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row>
    <row r="38" spans="1:47" x14ac:dyDescent="0.2">
      <c r="C38" s="285"/>
      <c r="D38" s="285"/>
      <c r="E38" s="285"/>
      <c r="F38" s="285"/>
      <c r="G38" s="286"/>
      <c r="H38" s="286"/>
      <c r="I38" s="286"/>
      <c r="J38" s="286"/>
      <c r="K38" s="286"/>
      <c r="L38" s="286"/>
      <c r="M38" s="286"/>
      <c r="N38" s="286"/>
      <c r="O38" s="286"/>
      <c r="P38" s="287"/>
      <c r="Q38" s="287"/>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row>
    <row r="39" spans="1:47" x14ac:dyDescent="0.2">
      <c r="C39" s="285"/>
      <c r="D39" s="285"/>
      <c r="E39" s="285"/>
      <c r="F39" s="285"/>
      <c r="G39" s="286"/>
      <c r="H39" s="286"/>
      <c r="I39" s="286"/>
      <c r="J39" s="286"/>
      <c r="K39" s="286"/>
      <c r="L39" s="286"/>
      <c r="M39" s="286"/>
      <c r="N39" s="286"/>
      <c r="O39" s="286"/>
      <c r="P39" s="287"/>
      <c r="Q39" s="287"/>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row>
    <row r="40" spans="1:47" x14ac:dyDescent="0.2">
      <c r="A40" s="131"/>
      <c r="C40" s="285"/>
      <c r="D40" s="285"/>
      <c r="E40" s="285"/>
      <c r="F40" s="285"/>
      <c r="G40" s="286"/>
      <c r="H40" s="286"/>
      <c r="I40" s="286"/>
      <c r="J40" s="286"/>
      <c r="K40" s="286"/>
      <c r="L40" s="286"/>
      <c r="M40" s="286"/>
      <c r="N40" s="286"/>
      <c r="O40" s="286"/>
      <c r="P40" s="287"/>
      <c r="Q40" s="287"/>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row>
    <row r="41" spans="1:47" x14ac:dyDescent="0.2">
      <c r="A41" s="131"/>
      <c r="B41" s="376"/>
      <c r="C41" s="285"/>
      <c r="D41" s="285"/>
      <c r="E41" s="285"/>
      <c r="F41" s="285"/>
      <c r="G41" s="286"/>
      <c r="H41" s="286"/>
      <c r="I41" s="286"/>
      <c r="J41" s="286"/>
      <c r="K41" s="286"/>
      <c r="L41" s="286"/>
      <c r="M41" s="286"/>
      <c r="N41" s="286"/>
      <c r="O41" s="286"/>
      <c r="P41" s="287"/>
      <c r="Q41" s="287"/>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row>
    <row r="42" spans="1:47" x14ac:dyDescent="0.2">
      <c r="A42" s="288"/>
    </row>
    <row r="43" spans="1:47" x14ac:dyDescent="0.2">
      <c r="A43" s="131"/>
    </row>
    <row r="44" spans="1:47" x14ac:dyDescent="0.2">
      <c r="A44" s="131"/>
      <c r="B44" s="376"/>
    </row>
    <row r="45" spans="1:47" x14ac:dyDescent="0.2">
      <c r="A45" s="288"/>
    </row>
    <row r="46" spans="1:47" x14ac:dyDescent="0.2">
      <c r="A46" s="131"/>
    </row>
    <row r="47" spans="1:47" x14ac:dyDescent="0.2">
      <c r="A47" s="131"/>
      <c r="B47" s="376"/>
    </row>
    <row r="48" spans="1:47" x14ac:dyDescent="0.2">
      <c r="A48" s="288"/>
    </row>
    <row r="49" spans="1:2" x14ac:dyDescent="0.2">
      <c r="A49" s="131"/>
    </row>
    <row r="50" spans="1:2" x14ac:dyDescent="0.2">
      <c r="A50" s="131"/>
      <c r="B50" s="376"/>
    </row>
    <row r="51" spans="1:2" x14ac:dyDescent="0.2">
      <c r="A51" s="288"/>
    </row>
    <row r="52" spans="1:2" x14ac:dyDescent="0.2">
      <c r="A52" s="131"/>
    </row>
    <row r="53" spans="1:2" x14ac:dyDescent="0.2">
      <c r="A53" s="131"/>
      <c r="B53" s="376"/>
    </row>
    <row r="54" spans="1:2" x14ac:dyDescent="0.2">
      <c r="A54" s="288"/>
    </row>
    <row r="55" spans="1:2" x14ac:dyDescent="0.2">
      <c r="A55" s="131"/>
    </row>
    <row r="56" spans="1:2" x14ac:dyDescent="0.2">
      <c r="A56" s="131"/>
    </row>
    <row r="57" spans="1:2" x14ac:dyDescent="0.2">
      <c r="A57" s="131"/>
    </row>
    <row r="58" spans="1:2" x14ac:dyDescent="0.2">
      <c r="A58" s="131"/>
    </row>
    <row r="59" spans="1:2" x14ac:dyDescent="0.2">
      <c r="A59" s="131"/>
    </row>
    <row r="60" spans="1:2" x14ac:dyDescent="0.2">
      <c r="A60" s="131"/>
    </row>
    <row r="61" spans="1:2" x14ac:dyDescent="0.2">
      <c r="A61" s="131"/>
    </row>
    <row r="62" spans="1:2" x14ac:dyDescent="0.2">
      <c r="A62" s="131"/>
    </row>
    <row r="63" spans="1:2" x14ac:dyDescent="0.2">
      <c r="A63" s="131"/>
    </row>
  </sheetData>
  <mergeCells count="2">
    <mergeCell ref="A1:F1"/>
    <mergeCell ref="M1:N1"/>
  </mergeCells>
  <hyperlinks>
    <hyperlink ref="H1" location="Inventory!A1" display="Inventory" xr:uid="{00000000-0004-0000-0900-000000000000}"/>
  </hyperlinks>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62"/>
  <sheetViews>
    <sheetView showGridLines="0" zoomScaleNormal="100" zoomScaleSheetLayoutView="100" workbookViewId="0">
      <selection activeCell="B24" sqref="B24"/>
    </sheetView>
  </sheetViews>
  <sheetFormatPr defaultRowHeight="11.25" x14ac:dyDescent="0.2"/>
  <cols>
    <col min="1" max="1" width="55" style="281" customWidth="1"/>
    <col min="2" max="2" width="5.7109375" style="281" customWidth="1"/>
    <col min="3" max="6" width="5.7109375" style="282" customWidth="1"/>
    <col min="7" max="15" width="5.7109375" style="283" customWidth="1"/>
    <col min="16" max="17" width="5.7109375" style="284" customWidth="1"/>
    <col min="18" max="29" width="5.7109375" style="281" customWidth="1"/>
    <col min="30" max="16384" width="9.140625" style="281"/>
  </cols>
  <sheetData>
    <row r="1" spans="1:30" s="278" customFormat="1" ht="18.75" x14ac:dyDescent="0.3">
      <c r="A1" s="777" t="s">
        <v>224</v>
      </c>
      <c r="B1" s="777"/>
      <c r="C1" s="777"/>
      <c r="D1" s="777"/>
      <c r="E1" s="777"/>
      <c r="F1" s="777"/>
      <c r="H1" s="277" t="s">
        <v>44</v>
      </c>
      <c r="L1" s="145" t="s">
        <v>45</v>
      </c>
      <c r="M1" s="778">
        <v>44835</v>
      </c>
      <c r="N1" s="778"/>
      <c r="O1" s="279"/>
      <c r="P1" s="280"/>
      <c r="Q1" s="280"/>
      <c r="AC1" s="372" t="s">
        <v>46</v>
      </c>
      <c r="AD1" s="373">
        <v>6.09</v>
      </c>
    </row>
    <row r="2" spans="1:30" x14ac:dyDescent="0.2">
      <c r="A2" s="42" t="s">
        <v>225</v>
      </c>
      <c r="B2" s="374">
        <v>23</v>
      </c>
      <c r="C2" s="281"/>
    </row>
    <row r="3" spans="1:30" x14ac:dyDescent="0.2">
      <c r="B3" s="374"/>
      <c r="C3" s="281"/>
    </row>
    <row r="4" spans="1:30" x14ac:dyDescent="0.2">
      <c r="C4" s="281"/>
    </row>
    <row r="5" spans="1:30" x14ac:dyDescent="0.2">
      <c r="K5" s="281"/>
      <c r="O5" s="284"/>
      <c r="Q5" s="281"/>
    </row>
    <row r="6" spans="1:30" x14ac:dyDescent="0.2">
      <c r="K6" s="281"/>
      <c r="O6" s="284"/>
      <c r="Q6" s="281"/>
    </row>
    <row r="7" spans="1:30" s="338" customFormat="1" ht="56.25" customHeight="1" x14ac:dyDescent="0.2">
      <c r="A7" s="488" t="s">
        <v>69</v>
      </c>
      <c r="B7" s="604" t="s">
        <v>220</v>
      </c>
      <c r="C7" s="342"/>
      <c r="D7" s="337"/>
      <c r="E7" s="337"/>
      <c r="G7" s="339"/>
      <c r="H7" s="339"/>
      <c r="I7" s="339"/>
      <c r="J7" s="339"/>
      <c r="K7" s="339"/>
      <c r="L7" s="339"/>
      <c r="M7" s="339"/>
      <c r="N7" s="339"/>
      <c r="O7" s="339"/>
      <c r="P7" s="340"/>
      <c r="Q7" s="340"/>
    </row>
    <row r="8" spans="1:30" ht="12" x14ac:dyDescent="0.2">
      <c r="A8" s="488" t="s">
        <v>71</v>
      </c>
      <c r="B8" s="686" t="s">
        <v>221</v>
      </c>
      <c r="C8" s="343"/>
      <c r="K8" s="281"/>
      <c r="O8" s="284"/>
      <c r="Q8" s="281"/>
    </row>
    <row r="9" spans="1:30" ht="12" x14ac:dyDescent="0.2">
      <c r="A9" s="488" t="s">
        <v>114</v>
      </c>
      <c r="B9" s="607">
        <v>1</v>
      </c>
      <c r="C9" s="344"/>
      <c r="K9" s="281"/>
      <c r="O9" s="284"/>
      <c r="Q9" s="281"/>
    </row>
    <row r="10" spans="1:30" ht="12" x14ac:dyDescent="0.2">
      <c r="A10" s="488" t="s">
        <v>115</v>
      </c>
      <c r="B10" s="607" t="s">
        <v>220</v>
      </c>
      <c r="C10" s="345"/>
      <c r="K10" s="281"/>
      <c r="O10" s="284"/>
      <c r="Q10" s="281"/>
    </row>
    <row r="11" spans="1:30" ht="12.75" x14ac:dyDescent="0.2">
      <c r="A11" s="528" t="s">
        <v>134</v>
      </c>
      <c r="B11" s="607"/>
      <c r="C11" s="344"/>
      <c r="K11" s="281"/>
      <c r="O11" s="284"/>
      <c r="Q11" s="281"/>
    </row>
    <row r="12" spans="1:30" ht="12" x14ac:dyDescent="0.2">
      <c r="A12" s="488" t="s">
        <v>135</v>
      </c>
      <c r="B12" s="612" t="s">
        <v>203</v>
      </c>
      <c r="C12" s="346"/>
      <c r="K12" s="281"/>
      <c r="O12" s="284"/>
      <c r="Q12" s="281"/>
    </row>
    <row r="13" spans="1:30" ht="12" x14ac:dyDescent="0.2">
      <c r="A13" s="488" t="s">
        <v>136</v>
      </c>
      <c r="B13" s="612">
        <v>0.75</v>
      </c>
      <c r="C13" s="346"/>
      <c r="K13" s="281"/>
      <c r="O13" s="284"/>
      <c r="Q13" s="281"/>
    </row>
    <row r="14" spans="1:30" ht="12" x14ac:dyDescent="0.2">
      <c r="A14" s="687" t="s">
        <v>222</v>
      </c>
      <c r="B14" s="612">
        <v>0.25</v>
      </c>
      <c r="C14" s="346"/>
      <c r="K14" s="281"/>
      <c r="O14" s="284"/>
      <c r="Q14" s="281"/>
    </row>
    <row r="15" spans="1:30" ht="12.75" x14ac:dyDescent="0.2">
      <c r="A15" s="688" t="s">
        <v>226</v>
      </c>
      <c r="B15" s="689"/>
      <c r="K15" s="281"/>
      <c r="O15" s="284"/>
      <c r="Q15" s="281"/>
    </row>
    <row r="16" spans="1:30" ht="12" x14ac:dyDescent="0.2">
      <c r="A16" s="515" t="s">
        <v>138</v>
      </c>
      <c r="B16" s="690">
        <v>12</v>
      </c>
      <c r="K16" s="281"/>
      <c r="O16" s="284"/>
      <c r="Q16" s="281"/>
    </row>
    <row r="17" spans="1:47" ht="12" x14ac:dyDescent="0.2">
      <c r="A17" s="515" t="s">
        <v>139</v>
      </c>
      <c r="B17" s="690">
        <f>B16*B13</f>
        <v>9</v>
      </c>
      <c r="K17" s="281"/>
      <c r="O17" s="284"/>
      <c r="Q17" s="281"/>
    </row>
    <row r="18" spans="1:47" ht="12" x14ac:dyDescent="0.2">
      <c r="A18" s="691" t="s">
        <v>140</v>
      </c>
      <c r="B18" s="690">
        <f>B16*B14</f>
        <v>3</v>
      </c>
      <c r="K18" s="281"/>
      <c r="O18" s="284"/>
      <c r="Q18" s="281"/>
    </row>
    <row r="19" spans="1:47" ht="12" x14ac:dyDescent="0.2">
      <c r="A19" s="543" t="s">
        <v>141</v>
      </c>
      <c r="B19" s="692"/>
      <c r="C19" s="285"/>
      <c r="D19" s="285"/>
      <c r="E19" s="285"/>
      <c r="F19" s="285"/>
      <c r="G19" s="286"/>
      <c r="H19" s="286"/>
      <c r="I19" s="286"/>
      <c r="J19" s="286"/>
      <c r="K19" s="286"/>
      <c r="L19" s="286"/>
      <c r="M19" s="286"/>
      <c r="N19" s="286"/>
      <c r="O19" s="286"/>
      <c r="P19" s="287"/>
      <c r="Q19" s="287"/>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row>
    <row r="20" spans="1:47" ht="12" x14ac:dyDescent="0.2">
      <c r="A20" s="546" t="s">
        <v>142</v>
      </c>
      <c r="B20" s="454">
        <v>3</v>
      </c>
      <c r="C20" s="369"/>
      <c r="D20" s="285"/>
      <c r="E20" s="285"/>
      <c r="F20" s="285"/>
      <c r="G20" s="286"/>
      <c r="H20" s="286"/>
      <c r="I20" s="286"/>
      <c r="J20" s="286"/>
      <c r="K20" s="286"/>
      <c r="L20" s="286"/>
      <c r="M20" s="286"/>
      <c r="N20" s="286"/>
      <c r="O20" s="286"/>
      <c r="P20" s="287"/>
      <c r="Q20" s="287"/>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row>
    <row r="21" spans="1:47" s="288" customFormat="1" ht="12" x14ac:dyDescent="0.2">
      <c r="A21" s="546" t="s">
        <v>143</v>
      </c>
      <c r="B21" s="454">
        <v>3</v>
      </c>
      <c r="C21" s="289"/>
      <c r="D21" s="289"/>
      <c r="E21" s="289"/>
      <c r="F21" s="289"/>
      <c r="G21" s="290"/>
      <c r="H21" s="290"/>
      <c r="I21" s="290"/>
      <c r="J21" s="290"/>
      <c r="K21" s="290"/>
      <c r="L21" s="290"/>
      <c r="M21" s="290"/>
      <c r="N21" s="290"/>
      <c r="O21" s="290"/>
      <c r="P21" s="291"/>
      <c r="Q21" s="291"/>
    </row>
    <row r="22" spans="1:47" ht="12" x14ac:dyDescent="0.2">
      <c r="A22" s="550" t="s">
        <v>144</v>
      </c>
      <c r="B22" s="454">
        <v>3</v>
      </c>
      <c r="C22" s="285"/>
      <c r="D22" s="285"/>
      <c r="E22" s="285"/>
      <c r="F22" s="285"/>
      <c r="G22" s="286"/>
      <c r="H22" s="286"/>
      <c r="I22" s="286"/>
      <c r="J22" s="286"/>
      <c r="K22" s="286"/>
      <c r="L22" s="286"/>
      <c r="M22" s="286"/>
      <c r="N22" s="286"/>
      <c r="O22" s="286"/>
      <c r="P22" s="287"/>
      <c r="Q22" s="287"/>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row>
    <row r="23" spans="1:47" ht="12" x14ac:dyDescent="0.2">
      <c r="A23" s="550" t="s">
        <v>145</v>
      </c>
      <c r="B23" s="454">
        <v>3</v>
      </c>
      <c r="C23" s="285"/>
      <c r="D23" s="285"/>
      <c r="E23" s="285"/>
      <c r="F23" s="285"/>
      <c r="G23" s="286"/>
      <c r="H23" s="286"/>
      <c r="I23" s="286"/>
      <c r="J23" s="286"/>
      <c r="K23" s="286"/>
      <c r="L23" s="286"/>
      <c r="M23" s="286"/>
      <c r="N23" s="286"/>
      <c r="O23" s="286"/>
      <c r="P23" s="287"/>
      <c r="Q23" s="287"/>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row>
    <row r="24" spans="1:47" s="288" customFormat="1" ht="12" x14ac:dyDescent="0.2">
      <c r="A24" s="551" t="s">
        <v>146</v>
      </c>
      <c r="B24" s="454">
        <v>3</v>
      </c>
      <c r="C24" s="289"/>
      <c r="D24" s="289"/>
      <c r="E24" s="289"/>
      <c r="F24" s="289"/>
      <c r="G24" s="290"/>
      <c r="H24" s="290"/>
      <c r="I24" s="290"/>
      <c r="J24" s="290"/>
      <c r="K24" s="290"/>
      <c r="L24" s="290"/>
      <c r="M24" s="290"/>
      <c r="N24" s="290"/>
      <c r="O24" s="290"/>
      <c r="P24" s="291"/>
      <c r="Q24" s="291"/>
    </row>
    <row r="25" spans="1:47" ht="12" x14ac:dyDescent="0.2">
      <c r="A25" s="550" t="s">
        <v>147</v>
      </c>
      <c r="B25" s="454">
        <v>3</v>
      </c>
      <c r="C25" s="285"/>
      <c r="D25" s="285"/>
      <c r="E25" s="285"/>
      <c r="F25" s="285"/>
      <c r="G25" s="286"/>
      <c r="H25" s="286"/>
      <c r="I25" s="286"/>
      <c r="J25" s="286"/>
      <c r="K25" s="286"/>
      <c r="L25" s="286"/>
      <c r="M25" s="286"/>
      <c r="N25" s="286"/>
      <c r="O25" s="286"/>
      <c r="P25" s="287"/>
      <c r="Q25" s="287"/>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row>
    <row r="26" spans="1:47" ht="12" x14ac:dyDescent="0.2">
      <c r="A26" s="550" t="s">
        <v>148</v>
      </c>
      <c r="B26" s="454">
        <v>3</v>
      </c>
      <c r="C26" s="285"/>
      <c r="D26" s="285"/>
      <c r="E26" s="285"/>
      <c r="F26" s="285"/>
      <c r="G26" s="286"/>
      <c r="H26" s="286"/>
      <c r="I26" s="286"/>
      <c r="J26" s="286"/>
      <c r="K26" s="286"/>
      <c r="L26" s="286"/>
      <c r="M26" s="286"/>
      <c r="N26" s="286"/>
      <c r="O26" s="286"/>
      <c r="P26" s="287"/>
      <c r="Q26" s="287"/>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row>
    <row r="27" spans="1:47" s="288" customFormat="1" ht="12" x14ac:dyDescent="0.2">
      <c r="A27" s="550" t="s">
        <v>149</v>
      </c>
      <c r="B27" s="454">
        <v>3</v>
      </c>
      <c r="C27" s="289"/>
      <c r="D27" s="289"/>
      <c r="E27" s="289"/>
      <c r="F27" s="289"/>
      <c r="G27" s="290"/>
      <c r="H27" s="290"/>
      <c r="I27" s="290"/>
      <c r="J27" s="290"/>
      <c r="K27" s="290"/>
      <c r="L27" s="290"/>
      <c r="M27" s="290"/>
      <c r="N27" s="290"/>
      <c r="O27" s="290"/>
      <c r="P27" s="291"/>
      <c r="Q27" s="291"/>
    </row>
    <row r="28" spans="1:47" ht="12" x14ac:dyDescent="0.2">
      <c r="A28" s="550" t="s">
        <v>150</v>
      </c>
      <c r="B28" s="454">
        <v>3</v>
      </c>
      <c r="C28" s="285"/>
      <c r="D28" s="285"/>
      <c r="E28" s="285"/>
      <c r="F28" s="285"/>
      <c r="G28" s="286"/>
      <c r="H28" s="286"/>
      <c r="I28" s="286"/>
      <c r="J28" s="286"/>
      <c r="K28" s="286"/>
      <c r="L28" s="286"/>
      <c r="M28" s="286"/>
      <c r="N28" s="286"/>
      <c r="O28" s="286"/>
      <c r="P28" s="287"/>
      <c r="Q28" s="287"/>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row>
    <row r="29" spans="1:47" ht="12.75" x14ac:dyDescent="0.2">
      <c r="A29" s="552" t="s">
        <v>151</v>
      </c>
      <c r="B29" s="454">
        <v>9</v>
      </c>
      <c r="C29" s="285"/>
      <c r="D29" s="285"/>
      <c r="E29" s="285"/>
      <c r="F29" s="285"/>
      <c r="G29" s="286"/>
      <c r="H29" s="286"/>
      <c r="I29" s="286"/>
      <c r="J29" s="286"/>
      <c r="K29" s="286"/>
      <c r="L29" s="286"/>
      <c r="M29" s="286"/>
      <c r="N29" s="286"/>
      <c r="O29" s="286"/>
      <c r="P29" s="287"/>
      <c r="Q29" s="287"/>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row>
    <row r="30" spans="1:47" s="288" customFormat="1" ht="12.75" x14ac:dyDescent="0.2">
      <c r="A30" s="571" t="s">
        <v>156</v>
      </c>
      <c r="B30" s="375"/>
      <c r="C30" s="289"/>
      <c r="D30" s="289"/>
      <c r="E30" s="289"/>
      <c r="F30" s="289"/>
      <c r="G30" s="290"/>
      <c r="H30" s="290"/>
      <c r="I30" s="290"/>
      <c r="J30" s="290"/>
      <c r="K30" s="290"/>
      <c r="L30" s="290"/>
      <c r="M30" s="290"/>
      <c r="N30" s="290"/>
      <c r="O30" s="290"/>
      <c r="P30" s="291"/>
      <c r="Q30" s="291"/>
    </row>
    <row r="31" spans="1:47" ht="12" x14ac:dyDescent="0.2">
      <c r="A31" s="515" t="s">
        <v>157</v>
      </c>
      <c r="B31" s="580">
        <v>0.8</v>
      </c>
      <c r="C31" s="285"/>
      <c r="D31" s="285"/>
      <c r="E31" s="285"/>
      <c r="F31" s="285"/>
      <c r="G31" s="286"/>
      <c r="H31" s="286"/>
      <c r="I31" s="286"/>
      <c r="J31" s="286"/>
      <c r="K31" s="286"/>
      <c r="L31" s="286"/>
      <c r="M31" s="286"/>
      <c r="N31" s="286"/>
      <c r="O31" s="286"/>
      <c r="P31" s="287"/>
      <c r="Q31" s="287"/>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row>
    <row r="32" spans="1:47" ht="12" x14ac:dyDescent="0.2">
      <c r="A32" s="515" t="s">
        <v>158</v>
      </c>
      <c r="B32" s="580">
        <v>0.8</v>
      </c>
      <c r="C32" s="285"/>
      <c r="D32" s="285"/>
      <c r="E32" s="285"/>
      <c r="F32" s="285"/>
      <c r="G32" s="286"/>
      <c r="H32" s="286"/>
      <c r="I32" s="286"/>
      <c r="J32" s="286"/>
      <c r="K32" s="286"/>
      <c r="L32" s="286"/>
      <c r="M32" s="286"/>
      <c r="N32" s="286"/>
      <c r="O32" s="286"/>
      <c r="P32" s="287"/>
      <c r="Q32" s="287"/>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row>
    <row r="33" spans="1:47" s="288" customFormat="1" ht="12" x14ac:dyDescent="0.2">
      <c r="A33" s="515" t="s">
        <v>159</v>
      </c>
      <c r="B33" s="580">
        <v>0.75</v>
      </c>
      <c r="C33" s="289"/>
      <c r="D33" s="289"/>
      <c r="E33" s="289"/>
      <c r="F33" s="289"/>
      <c r="G33" s="290"/>
      <c r="H33" s="290"/>
      <c r="I33" s="290"/>
      <c r="J33" s="290"/>
      <c r="K33" s="290"/>
      <c r="L33" s="290"/>
      <c r="M33" s="290"/>
      <c r="N33" s="290"/>
      <c r="O33" s="290"/>
      <c r="P33" s="291"/>
      <c r="Q33" s="291"/>
    </row>
    <row r="34" spans="1:47" x14ac:dyDescent="0.2">
      <c r="C34" s="285"/>
      <c r="D34" s="285"/>
      <c r="E34" s="285"/>
      <c r="F34" s="285"/>
      <c r="G34" s="286"/>
      <c r="H34" s="286"/>
      <c r="I34" s="286"/>
      <c r="J34" s="286"/>
      <c r="K34" s="286"/>
      <c r="L34" s="286"/>
      <c r="M34" s="286"/>
      <c r="N34" s="286"/>
      <c r="O34" s="286"/>
      <c r="P34" s="287"/>
      <c r="Q34" s="287"/>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row>
    <row r="35" spans="1:47" x14ac:dyDescent="0.2">
      <c r="C35" s="285"/>
      <c r="D35" s="285"/>
      <c r="E35" s="285"/>
      <c r="F35" s="285"/>
      <c r="G35" s="286"/>
      <c r="H35" s="286"/>
      <c r="I35" s="286"/>
      <c r="J35" s="286"/>
      <c r="K35" s="286"/>
      <c r="L35" s="286"/>
      <c r="M35" s="286"/>
      <c r="N35" s="286"/>
      <c r="O35" s="286"/>
      <c r="P35" s="287"/>
      <c r="Q35" s="287"/>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row>
    <row r="36" spans="1:47" x14ac:dyDescent="0.2">
      <c r="C36" s="285"/>
      <c r="D36" s="285"/>
      <c r="E36" s="285"/>
      <c r="F36" s="285"/>
      <c r="G36" s="286"/>
      <c r="H36" s="286"/>
      <c r="I36" s="286"/>
      <c r="J36" s="286"/>
      <c r="K36" s="286"/>
      <c r="L36" s="286"/>
      <c r="M36" s="286"/>
      <c r="N36" s="286"/>
      <c r="O36" s="286"/>
      <c r="P36" s="287"/>
      <c r="Q36" s="287"/>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row>
    <row r="37" spans="1:47" x14ac:dyDescent="0.2">
      <c r="C37" s="285"/>
      <c r="D37" s="285"/>
      <c r="E37" s="285"/>
      <c r="F37" s="285"/>
      <c r="G37" s="286"/>
      <c r="H37" s="286"/>
      <c r="I37" s="286"/>
      <c r="J37" s="286"/>
      <c r="K37" s="286"/>
      <c r="L37" s="286"/>
      <c r="M37" s="286"/>
      <c r="N37" s="286"/>
      <c r="O37" s="286"/>
      <c r="P37" s="287"/>
      <c r="Q37" s="287"/>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row>
    <row r="38" spans="1:47" x14ac:dyDescent="0.2">
      <c r="C38" s="285"/>
      <c r="D38" s="285"/>
      <c r="E38" s="285"/>
      <c r="F38" s="285"/>
      <c r="G38" s="286"/>
      <c r="H38" s="286"/>
      <c r="I38" s="286"/>
      <c r="J38" s="286"/>
      <c r="K38" s="286"/>
      <c r="L38" s="286"/>
      <c r="M38" s="286"/>
      <c r="N38" s="286"/>
      <c r="O38" s="286"/>
      <c r="P38" s="287"/>
      <c r="Q38" s="287"/>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row>
    <row r="39" spans="1:47" x14ac:dyDescent="0.2">
      <c r="A39" s="131"/>
      <c r="C39" s="285"/>
      <c r="D39" s="285"/>
      <c r="E39" s="285"/>
      <c r="F39" s="285"/>
      <c r="G39" s="286"/>
      <c r="H39" s="286"/>
      <c r="I39" s="286"/>
      <c r="J39" s="286"/>
      <c r="K39" s="286"/>
      <c r="L39" s="286"/>
      <c r="M39" s="286"/>
      <c r="N39" s="286"/>
      <c r="O39" s="286"/>
      <c r="P39" s="287"/>
      <c r="Q39" s="287"/>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row>
    <row r="40" spans="1:47" x14ac:dyDescent="0.2">
      <c r="A40" s="131"/>
      <c r="C40" s="285"/>
      <c r="D40" s="285"/>
      <c r="E40" s="285"/>
      <c r="F40" s="285"/>
      <c r="G40" s="286"/>
      <c r="H40" s="286"/>
      <c r="I40" s="286"/>
      <c r="J40" s="286"/>
      <c r="K40" s="286"/>
      <c r="L40" s="286"/>
      <c r="M40" s="286"/>
      <c r="N40" s="286"/>
      <c r="O40" s="286"/>
      <c r="P40" s="287"/>
      <c r="Q40" s="287"/>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row>
    <row r="41" spans="1:47" x14ac:dyDescent="0.2">
      <c r="A41" s="288"/>
    </row>
    <row r="42" spans="1:47" x14ac:dyDescent="0.2">
      <c r="A42" s="131"/>
      <c r="B42" s="376"/>
    </row>
    <row r="43" spans="1:47" x14ac:dyDescent="0.2">
      <c r="A43" s="131"/>
    </row>
    <row r="44" spans="1:47" x14ac:dyDescent="0.2">
      <c r="A44" s="288"/>
    </row>
    <row r="45" spans="1:47" x14ac:dyDescent="0.2">
      <c r="A45" s="131"/>
      <c r="B45" s="376"/>
    </row>
    <row r="46" spans="1:47" x14ac:dyDescent="0.2">
      <c r="A46" s="131"/>
    </row>
    <row r="47" spans="1:47" x14ac:dyDescent="0.2">
      <c r="A47" s="288"/>
    </row>
    <row r="48" spans="1:47" x14ac:dyDescent="0.2">
      <c r="A48" s="131"/>
      <c r="B48" s="376"/>
    </row>
    <row r="49" spans="1:47" x14ac:dyDescent="0.2">
      <c r="A49" s="131"/>
    </row>
    <row r="50" spans="1:47" x14ac:dyDescent="0.2">
      <c r="A50" s="288"/>
    </row>
    <row r="51" spans="1:47" s="282" customFormat="1" x14ac:dyDescent="0.2">
      <c r="A51" s="131"/>
      <c r="B51" s="376"/>
      <c r="G51" s="283"/>
      <c r="H51" s="283"/>
      <c r="I51" s="283"/>
      <c r="J51" s="283"/>
      <c r="K51" s="283"/>
      <c r="L51" s="283"/>
      <c r="M51" s="283"/>
      <c r="N51" s="283"/>
      <c r="O51" s="283"/>
      <c r="P51" s="284"/>
      <c r="Q51" s="284"/>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row>
    <row r="52" spans="1:47" s="282" customFormat="1" x14ac:dyDescent="0.2">
      <c r="A52" s="131"/>
      <c r="B52" s="281"/>
      <c r="G52" s="283"/>
      <c r="H52" s="283"/>
      <c r="I52" s="283"/>
      <c r="J52" s="283"/>
      <c r="K52" s="283"/>
      <c r="L52" s="283"/>
      <c r="M52" s="283"/>
      <c r="N52" s="283"/>
      <c r="O52" s="283"/>
      <c r="P52" s="284"/>
      <c r="Q52" s="284"/>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row>
    <row r="53" spans="1:47" s="282" customFormat="1" x14ac:dyDescent="0.2">
      <c r="A53" s="288"/>
      <c r="B53" s="281"/>
      <c r="G53" s="283"/>
      <c r="H53" s="283"/>
      <c r="I53" s="283"/>
      <c r="J53" s="283"/>
      <c r="K53" s="283"/>
      <c r="L53" s="283"/>
      <c r="M53" s="283"/>
      <c r="N53" s="283"/>
      <c r="O53" s="283"/>
      <c r="P53" s="284"/>
      <c r="Q53" s="284"/>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row>
    <row r="54" spans="1:47" s="282" customFormat="1" x14ac:dyDescent="0.2">
      <c r="A54" s="131"/>
      <c r="B54" s="376"/>
      <c r="G54" s="283"/>
      <c r="H54" s="283"/>
      <c r="I54" s="283"/>
      <c r="J54" s="283"/>
      <c r="K54" s="283"/>
      <c r="L54" s="283"/>
      <c r="M54" s="283"/>
      <c r="N54" s="283"/>
      <c r="O54" s="283"/>
      <c r="P54" s="284"/>
      <c r="Q54" s="284"/>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row>
    <row r="55" spans="1:47" s="282" customFormat="1" x14ac:dyDescent="0.2">
      <c r="A55" s="131"/>
      <c r="B55" s="281"/>
      <c r="G55" s="283"/>
      <c r="H55" s="283"/>
      <c r="I55" s="283"/>
      <c r="J55" s="283"/>
      <c r="K55" s="283"/>
      <c r="L55" s="283"/>
      <c r="M55" s="283"/>
      <c r="N55" s="283"/>
      <c r="O55" s="283"/>
      <c r="P55" s="284"/>
      <c r="Q55" s="284"/>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row>
    <row r="56" spans="1:47" s="282" customFormat="1" x14ac:dyDescent="0.2">
      <c r="A56" s="131"/>
      <c r="B56" s="281"/>
      <c r="G56" s="283"/>
      <c r="H56" s="283"/>
      <c r="I56" s="283"/>
      <c r="J56" s="283"/>
      <c r="K56" s="283"/>
      <c r="L56" s="283"/>
      <c r="M56" s="283"/>
      <c r="N56" s="283"/>
      <c r="O56" s="283"/>
      <c r="P56" s="284"/>
      <c r="Q56" s="284"/>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row>
    <row r="57" spans="1:47" s="282" customFormat="1" x14ac:dyDescent="0.2">
      <c r="A57" s="131"/>
      <c r="B57" s="281"/>
      <c r="G57" s="283"/>
      <c r="H57" s="283"/>
      <c r="I57" s="283"/>
      <c r="J57" s="283"/>
      <c r="K57" s="283"/>
      <c r="L57" s="283"/>
      <c r="M57" s="283"/>
      <c r="N57" s="283"/>
      <c r="O57" s="283"/>
      <c r="P57" s="284"/>
      <c r="Q57" s="284"/>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row>
    <row r="58" spans="1:47" s="282" customFormat="1" x14ac:dyDescent="0.2">
      <c r="A58" s="131"/>
      <c r="B58" s="281"/>
      <c r="G58" s="283"/>
      <c r="H58" s="283"/>
      <c r="I58" s="283"/>
      <c r="J58" s="283"/>
      <c r="K58" s="283"/>
      <c r="L58" s="283"/>
      <c r="M58" s="283"/>
      <c r="N58" s="283"/>
      <c r="O58" s="283"/>
      <c r="P58" s="284"/>
      <c r="Q58" s="284"/>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row>
    <row r="59" spans="1:47" s="282" customFormat="1" x14ac:dyDescent="0.2">
      <c r="A59" s="131"/>
      <c r="B59" s="281"/>
      <c r="G59" s="283"/>
      <c r="H59" s="283"/>
      <c r="I59" s="283"/>
      <c r="J59" s="283"/>
      <c r="K59" s="283"/>
      <c r="L59" s="283"/>
      <c r="M59" s="283"/>
      <c r="N59" s="283"/>
      <c r="O59" s="283"/>
      <c r="P59" s="284"/>
      <c r="Q59" s="284"/>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row>
    <row r="60" spans="1:47" s="282" customFormat="1" x14ac:dyDescent="0.2">
      <c r="A60" s="131"/>
      <c r="B60" s="281"/>
      <c r="G60" s="283"/>
      <c r="H60" s="283"/>
      <c r="I60" s="283"/>
      <c r="J60" s="283"/>
      <c r="K60" s="283"/>
      <c r="L60" s="283"/>
      <c r="M60" s="283"/>
      <c r="N60" s="283"/>
      <c r="O60" s="283"/>
      <c r="P60" s="284"/>
      <c r="Q60" s="284"/>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row>
    <row r="61" spans="1:47" s="282" customFormat="1" x14ac:dyDescent="0.2">
      <c r="A61" s="131"/>
      <c r="B61" s="281"/>
      <c r="G61" s="283"/>
      <c r="H61" s="283"/>
      <c r="I61" s="283"/>
      <c r="J61" s="283"/>
      <c r="K61" s="283"/>
      <c r="L61" s="283"/>
      <c r="M61" s="283"/>
      <c r="N61" s="283"/>
      <c r="O61" s="283"/>
      <c r="P61" s="284"/>
      <c r="Q61" s="284"/>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row>
    <row r="62" spans="1:47" s="282" customFormat="1" x14ac:dyDescent="0.2">
      <c r="A62" s="131"/>
      <c r="B62" s="281"/>
      <c r="G62" s="283"/>
      <c r="H62" s="283"/>
      <c r="I62" s="283"/>
      <c r="J62" s="283"/>
      <c r="K62" s="283"/>
      <c r="L62" s="283"/>
      <c r="M62" s="283"/>
      <c r="N62" s="283"/>
      <c r="O62" s="283"/>
      <c r="P62" s="284"/>
      <c r="Q62" s="284"/>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row>
  </sheetData>
  <mergeCells count="2">
    <mergeCell ref="A1:F1"/>
    <mergeCell ref="M1:N1"/>
  </mergeCells>
  <hyperlinks>
    <hyperlink ref="H1" location="Inventory!A1" display="Inventory" xr:uid="{00000000-0004-0000-0A00-000000000000}"/>
  </hyperlinks>
  <pageMargins left="0.75" right="0.7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32"/>
  <sheetViews>
    <sheetView showGridLines="0" zoomScaleNormal="100" zoomScaleSheetLayoutView="100" workbookViewId="0">
      <selection activeCell="E1" sqref="E1"/>
    </sheetView>
  </sheetViews>
  <sheetFormatPr defaultRowHeight="11.25" x14ac:dyDescent="0.2"/>
  <cols>
    <col min="1" max="1" width="56.140625" style="429" bestFit="1" customWidth="1"/>
    <col min="2" max="2" width="7.42578125" style="429" customWidth="1"/>
    <col min="3" max="3" width="7.42578125" style="440" customWidth="1"/>
    <col min="4" max="8" width="7.42578125" style="430" customWidth="1"/>
    <col min="9" max="13" width="5.7109375" style="430" customWidth="1"/>
    <col min="14" max="29" width="5.7109375" style="429" customWidth="1"/>
    <col min="30" max="16384" width="9.140625" style="429"/>
  </cols>
  <sheetData>
    <row r="1" spans="1:30" s="418" customFormat="1" ht="18.75" x14ac:dyDescent="0.3">
      <c r="A1" s="435" t="s">
        <v>227</v>
      </c>
      <c r="B1" s="435"/>
      <c r="C1" s="436"/>
      <c r="D1" s="435"/>
      <c r="E1" s="417" t="s">
        <v>44</v>
      </c>
      <c r="G1" s="419" t="s">
        <v>45</v>
      </c>
      <c r="H1" s="779">
        <v>44835</v>
      </c>
      <c r="I1" s="779"/>
      <c r="L1" s="420"/>
      <c r="M1" s="420"/>
      <c r="AC1" s="421" t="s">
        <v>46</v>
      </c>
      <c r="AD1" s="434">
        <v>6.1</v>
      </c>
    </row>
    <row r="2" spans="1:30" s="395" customFormat="1" ht="12" x14ac:dyDescent="0.2">
      <c r="A2" s="422"/>
      <c r="B2" s="423" t="s">
        <v>228</v>
      </c>
      <c r="C2" s="437"/>
      <c r="D2" s="422"/>
      <c r="E2" s="424"/>
      <c r="G2" s="425"/>
      <c r="H2" s="426"/>
      <c r="I2" s="426"/>
      <c r="L2" s="423"/>
      <c r="M2" s="423"/>
      <c r="AA2" s="425"/>
      <c r="AB2" s="422"/>
    </row>
    <row r="3" spans="1:30" s="395" customFormat="1" ht="12" x14ac:dyDescent="0.2">
      <c r="A3" s="425" t="s">
        <v>229</v>
      </c>
      <c r="B3" s="427" t="s">
        <v>230</v>
      </c>
      <c r="C3" s="438"/>
      <c r="D3" s="423"/>
      <c r="E3" s="423"/>
      <c r="F3" s="423"/>
      <c r="G3" s="423"/>
      <c r="H3" s="423"/>
      <c r="I3" s="423"/>
      <c r="J3" s="423"/>
      <c r="K3" s="423"/>
      <c r="L3" s="423"/>
      <c r="M3" s="423"/>
    </row>
    <row r="4" spans="1:30" s="395" customFormat="1" ht="12" x14ac:dyDescent="0.2">
      <c r="A4" s="425" t="s">
        <v>231</v>
      </c>
      <c r="B4" s="427">
        <v>5</v>
      </c>
      <c r="C4" s="438"/>
      <c r="D4" s="423"/>
      <c r="E4" s="423"/>
      <c r="F4" s="423"/>
      <c r="G4" s="423"/>
      <c r="H4" s="423"/>
      <c r="I4" s="423"/>
      <c r="J4" s="423"/>
      <c r="K4" s="423"/>
      <c r="L4" s="423"/>
      <c r="M4" s="423"/>
    </row>
    <row r="5" spans="1:30" s="395" customFormat="1" ht="12" x14ac:dyDescent="0.2">
      <c r="A5" s="425" t="s">
        <v>232</v>
      </c>
      <c r="B5" s="427">
        <v>3</v>
      </c>
      <c r="C5" s="438"/>
      <c r="D5" s="423"/>
      <c r="E5" s="423"/>
      <c r="F5" s="423"/>
      <c r="G5" s="423"/>
      <c r="H5" s="423"/>
      <c r="I5" s="423"/>
      <c r="J5" s="423"/>
      <c r="K5" s="423"/>
      <c r="L5" s="423"/>
      <c r="M5" s="423"/>
    </row>
    <row r="6" spans="1:30" s="395" customFormat="1" ht="12" x14ac:dyDescent="0.2">
      <c r="A6" s="425"/>
      <c r="B6" s="427"/>
      <c r="C6" s="438"/>
      <c r="D6" s="423"/>
      <c r="E6" s="423"/>
      <c r="F6" s="423"/>
      <c r="G6" s="423"/>
      <c r="H6" s="423"/>
      <c r="I6" s="423"/>
      <c r="J6" s="423"/>
      <c r="K6" s="423"/>
      <c r="L6" s="423"/>
      <c r="M6" s="423"/>
    </row>
    <row r="7" spans="1:30" s="395" customFormat="1" ht="12" x14ac:dyDescent="0.2">
      <c r="A7" s="425"/>
      <c r="B7" s="428"/>
      <c r="C7" s="438"/>
      <c r="D7" s="423"/>
      <c r="E7" s="423"/>
      <c r="F7" s="423"/>
      <c r="G7" s="423"/>
      <c r="H7" s="423"/>
      <c r="I7" s="423"/>
      <c r="J7" s="423"/>
      <c r="K7" s="423"/>
      <c r="L7" s="423"/>
      <c r="M7" s="423"/>
    </row>
    <row r="8" spans="1:30" s="395" customFormat="1" ht="12" x14ac:dyDescent="0.2">
      <c r="A8" s="425"/>
      <c r="B8" s="428"/>
      <c r="C8" s="438"/>
      <c r="D8" s="423"/>
      <c r="E8" s="423"/>
      <c r="F8" s="423"/>
      <c r="G8" s="423"/>
      <c r="H8" s="423"/>
      <c r="I8" s="423"/>
      <c r="J8" s="423"/>
      <c r="K8" s="423"/>
      <c r="L8" s="423"/>
      <c r="M8" s="423"/>
    </row>
    <row r="9" spans="1:30" s="395" customFormat="1" ht="12" x14ac:dyDescent="0.2">
      <c r="A9" s="425"/>
      <c r="B9" s="428"/>
      <c r="C9" s="438"/>
      <c r="D9" s="423"/>
      <c r="E9" s="423"/>
      <c r="F9" s="423"/>
      <c r="G9" s="423"/>
      <c r="H9" s="423"/>
      <c r="I9" s="423"/>
      <c r="J9" s="423"/>
      <c r="K9" s="423"/>
      <c r="L9" s="423"/>
      <c r="M9" s="423"/>
    </row>
    <row r="10" spans="1:30" ht="56.25" customHeight="1" x14ac:dyDescent="0.2">
      <c r="A10" s="693" t="s">
        <v>69</v>
      </c>
      <c r="B10" s="604" t="s">
        <v>233</v>
      </c>
      <c r="C10" s="342"/>
      <c r="D10" s="429"/>
    </row>
    <row r="11" spans="1:30" ht="12" x14ac:dyDescent="0.2">
      <c r="A11" s="693" t="s">
        <v>71</v>
      </c>
      <c r="B11" s="686" t="s">
        <v>234</v>
      </c>
      <c r="C11" s="343"/>
      <c r="D11" s="429"/>
    </row>
    <row r="12" spans="1:30" s="431" customFormat="1" ht="12" x14ac:dyDescent="0.2">
      <c r="A12" s="693" t="s">
        <v>114</v>
      </c>
      <c r="B12" s="607">
        <v>1</v>
      </c>
      <c r="C12" s="344"/>
      <c r="E12" s="430"/>
      <c r="F12" s="430"/>
      <c r="G12" s="430"/>
      <c r="H12" s="430"/>
      <c r="I12" s="430"/>
      <c r="J12" s="430"/>
      <c r="K12" s="430"/>
      <c r="L12" s="430"/>
      <c r="M12" s="430"/>
    </row>
    <row r="13" spans="1:30" s="431" customFormat="1" ht="12" x14ac:dyDescent="0.2">
      <c r="A13" s="693" t="s">
        <v>115</v>
      </c>
      <c r="B13" s="607" t="s">
        <v>235</v>
      </c>
      <c r="C13" s="345"/>
      <c r="E13" s="430"/>
      <c r="F13" s="430"/>
      <c r="G13" s="430"/>
      <c r="H13" s="430"/>
      <c r="I13" s="430"/>
      <c r="J13" s="430"/>
      <c r="K13" s="430"/>
      <c r="L13" s="430"/>
      <c r="M13" s="430"/>
    </row>
    <row r="14" spans="1:30" s="431" customFormat="1" ht="12.75" x14ac:dyDescent="0.2">
      <c r="A14" s="694" t="s">
        <v>134</v>
      </c>
      <c r="B14" s="607"/>
      <c r="C14" s="344"/>
      <c r="E14" s="430"/>
      <c r="F14" s="430"/>
      <c r="G14" s="430"/>
      <c r="H14" s="430"/>
      <c r="I14" s="430"/>
      <c r="J14" s="430"/>
      <c r="K14" s="430"/>
      <c r="L14" s="430"/>
      <c r="M14" s="430"/>
    </row>
    <row r="15" spans="1:30" s="431" customFormat="1" ht="12" x14ac:dyDescent="0.2">
      <c r="A15" s="693" t="s">
        <v>135</v>
      </c>
      <c r="B15" s="508">
        <v>1</v>
      </c>
      <c r="C15" s="346"/>
      <c r="E15" s="430"/>
      <c r="F15" s="430"/>
      <c r="G15" s="430"/>
      <c r="H15" s="430"/>
      <c r="I15" s="430"/>
      <c r="J15" s="430"/>
      <c r="K15" s="430"/>
      <c r="L15" s="430"/>
      <c r="M15" s="430"/>
    </row>
    <row r="16" spans="1:30" s="431" customFormat="1" ht="12" x14ac:dyDescent="0.2">
      <c r="A16" s="693" t="s">
        <v>136</v>
      </c>
      <c r="B16" s="508">
        <v>0.75</v>
      </c>
      <c r="C16" s="346"/>
      <c r="E16" s="430"/>
      <c r="F16" s="430"/>
      <c r="G16" s="430"/>
      <c r="H16" s="430"/>
      <c r="I16" s="430"/>
      <c r="J16" s="430"/>
      <c r="K16" s="430"/>
      <c r="L16" s="430"/>
      <c r="M16" s="430"/>
    </row>
    <row r="17" spans="1:13" s="431" customFormat="1" ht="12" x14ac:dyDescent="0.2">
      <c r="A17" s="695" t="s">
        <v>222</v>
      </c>
      <c r="B17" s="508">
        <v>0.25</v>
      </c>
      <c r="C17" s="346"/>
      <c r="E17" s="430"/>
      <c r="F17" s="430"/>
      <c r="G17" s="430"/>
      <c r="H17" s="430"/>
      <c r="I17" s="430"/>
      <c r="J17" s="430"/>
      <c r="K17" s="430"/>
      <c r="L17" s="430"/>
      <c r="M17" s="430"/>
    </row>
    <row r="18" spans="1:13" ht="12.75" x14ac:dyDescent="0.2">
      <c r="A18" s="694" t="s">
        <v>236</v>
      </c>
      <c r="B18" s="696" t="s">
        <v>230</v>
      </c>
      <c r="C18" s="438"/>
      <c r="D18" s="429"/>
    </row>
    <row r="19" spans="1:13" s="433" customFormat="1" ht="12" x14ac:dyDescent="0.2">
      <c r="A19" s="507" t="s">
        <v>138</v>
      </c>
      <c r="B19" s="697">
        <f>SUM(B4:B6)*B15</f>
        <v>8</v>
      </c>
      <c r="C19" s="439"/>
      <c r="D19" s="432"/>
      <c r="E19" s="432"/>
      <c r="F19" s="432"/>
      <c r="G19" s="432"/>
      <c r="H19" s="432"/>
      <c r="I19" s="432"/>
      <c r="J19" s="432"/>
      <c r="K19" s="432"/>
      <c r="L19" s="432"/>
      <c r="M19" s="432"/>
    </row>
    <row r="20" spans="1:13" ht="12" x14ac:dyDescent="0.2">
      <c r="A20" s="507" t="s">
        <v>139</v>
      </c>
      <c r="B20" s="697">
        <f>B19*B16</f>
        <v>6</v>
      </c>
      <c r="C20" s="439"/>
    </row>
    <row r="21" spans="1:13" ht="12" x14ac:dyDescent="0.2">
      <c r="A21" s="499" t="s">
        <v>140</v>
      </c>
      <c r="B21" s="697">
        <f>B19*B17</f>
        <v>2</v>
      </c>
      <c r="C21" s="439"/>
    </row>
    <row r="22" spans="1:13" ht="12" x14ac:dyDescent="0.2">
      <c r="A22" s="698" t="s">
        <v>141</v>
      </c>
      <c r="B22" s="696"/>
      <c r="C22" s="438"/>
    </row>
    <row r="23" spans="1:13" ht="12" x14ac:dyDescent="0.2">
      <c r="A23" s="546" t="s">
        <v>142</v>
      </c>
      <c r="B23" s="696" t="s">
        <v>203</v>
      </c>
      <c r="C23" s="438"/>
    </row>
    <row r="24" spans="1:13" ht="12" x14ac:dyDescent="0.2">
      <c r="A24" s="546" t="s">
        <v>143</v>
      </c>
      <c r="B24" s="696" t="s">
        <v>203</v>
      </c>
      <c r="C24" s="438"/>
    </row>
    <row r="25" spans="1:13" ht="12" x14ac:dyDescent="0.2">
      <c r="A25" s="550" t="s">
        <v>144</v>
      </c>
      <c r="B25" s="696" t="s">
        <v>203</v>
      </c>
      <c r="C25" s="438"/>
    </row>
    <row r="26" spans="1:13" ht="12" x14ac:dyDescent="0.2">
      <c r="A26" s="550" t="s">
        <v>145</v>
      </c>
      <c r="B26" s="696" t="s">
        <v>203</v>
      </c>
      <c r="C26" s="438"/>
    </row>
    <row r="27" spans="1:13" ht="12" x14ac:dyDescent="0.2">
      <c r="A27" s="551" t="s">
        <v>146</v>
      </c>
      <c r="B27" s="696" t="s">
        <v>203</v>
      </c>
      <c r="C27" s="438"/>
    </row>
    <row r="28" spans="1:13" ht="12" x14ac:dyDescent="0.2">
      <c r="A28" s="550" t="s">
        <v>147</v>
      </c>
      <c r="B28" s="696" t="s">
        <v>203</v>
      </c>
      <c r="C28" s="438"/>
    </row>
    <row r="29" spans="1:13" ht="12" x14ac:dyDescent="0.2">
      <c r="A29" s="550" t="s">
        <v>148</v>
      </c>
      <c r="B29" s="696" t="s">
        <v>203</v>
      </c>
      <c r="C29" s="438"/>
    </row>
    <row r="30" spans="1:13" ht="12" x14ac:dyDescent="0.2">
      <c r="A30" s="550" t="s">
        <v>149</v>
      </c>
      <c r="B30" s="696" t="s">
        <v>203</v>
      </c>
      <c r="C30" s="438"/>
    </row>
    <row r="31" spans="1:13" ht="12" x14ac:dyDescent="0.2">
      <c r="A31" s="550" t="s">
        <v>150</v>
      </c>
      <c r="B31" s="696" t="s">
        <v>203</v>
      </c>
      <c r="C31" s="438"/>
    </row>
    <row r="32" spans="1:13" ht="12.75" x14ac:dyDescent="0.2">
      <c r="A32" s="552" t="s">
        <v>151</v>
      </c>
      <c r="B32" s="696" t="s">
        <v>203</v>
      </c>
    </row>
  </sheetData>
  <mergeCells count="1">
    <mergeCell ref="H1:I1"/>
  </mergeCells>
  <hyperlinks>
    <hyperlink ref="E1" location="Inventory!A1" display="Inventory" xr:uid="{00000000-0004-0000-0B00-000000000000}"/>
  </hyperlinks>
  <pageMargins left="0.75" right="0.75" top="1" bottom="1" header="0.5" footer="0.5"/>
  <pageSetup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0"/>
  <sheetViews>
    <sheetView showGridLines="0" zoomScaleNormal="100" workbookViewId="0">
      <selection activeCell="C1" sqref="C1"/>
    </sheetView>
  </sheetViews>
  <sheetFormatPr defaultColWidth="8.85546875" defaultRowHeight="11.25" x14ac:dyDescent="0.2"/>
  <cols>
    <col min="1" max="1" width="9.5703125" style="331" customWidth="1"/>
    <col min="2" max="2" width="12.5703125" style="331" bestFit="1" customWidth="1"/>
    <col min="3" max="3" width="50.42578125" style="331" customWidth="1"/>
    <col min="4" max="5" width="5.7109375" style="331" customWidth="1"/>
    <col min="6" max="9" width="5.7109375" style="330" customWidth="1"/>
    <col min="10" max="17" width="5.7109375" style="331" customWidth="1"/>
    <col min="18" max="16384" width="8.85546875" style="331"/>
  </cols>
  <sheetData>
    <row r="1" spans="1:17" s="453" customFormat="1" ht="15.75" x14ac:dyDescent="0.25">
      <c r="A1" s="329" t="s">
        <v>45</v>
      </c>
      <c r="B1" s="447">
        <v>44835</v>
      </c>
      <c r="C1" s="361" t="s">
        <v>44</v>
      </c>
      <c r="D1" s="783" t="s">
        <v>237</v>
      </c>
      <c r="E1" s="783"/>
      <c r="F1" s="783"/>
      <c r="G1" s="783"/>
      <c r="H1" s="783"/>
      <c r="I1" s="783"/>
      <c r="J1" s="783"/>
      <c r="K1" s="783"/>
      <c r="L1" s="783"/>
      <c r="M1" s="783"/>
      <c r="N1" s="783"/>
      <c r="O1" s="783"/>
      <c r="P1" s="783"/>
      <c r="Q1" s="783"/>
    </row>
    <row r="2" spans="1:17" s="332" customFormat="1" ht="360" customHeight="1" thickBot="1" x14ac:dyDescent="0.25">
      <c r="B2" s="441"/>
      <c r="C2" s="442" t="s">
        <v>238</v>
      </c>
      <c r="D2" s="699" t="s">
        <v>194</v>
      </c>
      <c r="E2" s="700" t="s">
        <v>195</v>
      </c>
      <c r="F2" s="699" t="s">
        <v>142</v>
      </c>
      <c r="G2" s="700" t="s">
        <v>143</v>
      </c>
      <c r="H2" s="699" t="s">
        <v>144</v>
      </c>
      <c r="I2" s="700" t="s">
        <v>145</v>
      </c>
      <c r="J2" s="699" t="s">
        <v>146</v>
      </c>
      <c r="K2" s="700" t="s">
        <v>147</v>
      </c>
      <c r="L2" s="699" t="s">
        <v>148</v>
      </c>
      <c r="M2" s="700" t="s">
        <v>149</v>
      </c>
      <c r="N2" s="699" t="s">
        <v>150</v>
      </c>
      <c r="O2" s="700" t="s">
        <v>151</v>
      </c>
      <c r="P2" s="699" t="s">
        <v>210</v>
      </c>
      <c r="Q2" s="700" t="s">
        <v>239</v>
      </c>
    </row>
    <row r="3" spans="1:17" s="330" customFormat="1" ht="17.25" customHeight="1" x14ac:dyDescent="0.2">
      <c r="A3" s="780" t="s">
        <v>240</v>
      </c>
      <c r="B3" s="443" t="s">
        <v>241</v>
      </c>
      <c r="C3" s="444" t="s">
        <v>242</v>
      </c>
      <c r="D3" s="445" t="s">
        <v>186</v>
      </c>
      <c r="E3" s="445" t="s">
        <v>186</v>
      </c>
      <c r="F3" s="445"/>
      <c r="G3" s="445"/>
      <c r="H3" s="445"/>
      <c r="I3" s="445"/>
      <c r="J3" s="445"/>
      <c r="K3" s="445"/>
      <c r="L3" s="445"/>
      <c r="M3" s="445" t="s">
        <v>186</v>
      </c>
      <c r="N3" s="445" t="s">
        <v>186</v>
      </c>
      <c r="O3" s="445" t="s">
        <v>186</v>
      </c>
      <c r="P3" s="445"/>
      <c r="Q3" s="448"/>
    </row>
    <row r="4" spans="1:17" s="330" customFormat="1" ht="17.25" customHeight="1" x14ac:dyDescent="0.2">
      <c r="A4" s="781"/>
      <c r="B4" s="446" t="s">
        <v>243</v>
      </c>
      <c r="C4" s="701" t="s">
        <v>244</v>
      </c>
      <c r="D4" s="702" t="s">
        <v>186</v>
      </c>
      <c r="E4" s="702" t="s">
        <v>186</v>
      </c>
      <c r="F4" s="702" t="s">
        <v>186</v>
      </c>
      <c r="G4" s="702" t="s">
        <v>186</v>
      </c>
      <c r="H4" s="702" t="s">
        <v>186</v>
      </c>
      <c r="I4" s="702"/>
      <c r="J4" s="702"/>
      <c r="K4" s="702" t="s">
        <v>186</v>
      </c>
      <c r="L4" s="702" t="s">
        <v>186</v>
      </c>
      <c r="M4" s="702"/>
      <c r="N4" s="702"/>
      <c r="O4" s="702" t="s">
        <v>186</v>
      </c>
      <c r="P4" s="702"/>
      <c r="Q4" s="703"/>
    </row>
    <row r="5" spans="1:17" s="330" customFormat="1" ht="17.25" customHeight="1" x14ac:dyDescent="0.2">
      <c r="A5" s="781"/>
      <c r="B5" s="446" t="s">
        <v>245</v>
      </c>
      <c r="C5" s="701" t="s">
        <v>246</v>
      </c>
      <c r="D5" s="702" t="s">
        <v>186</v>
      </c>
      <c r="E5" s="702" t="s">
        <v>186</v>
      </c>
      <c r="F5" s="702" t="s">
        <v>186</v>
      </c>
      <c r="G5" s="702" t="s">
        <v>186</v>
      </c>
      <c r="H5" s="702" t="s">
        <v>186</v>
      </c>
      <c r="I5" s="702" t="s">
        <v>186</v>
      </c>
      <c r="J5" s="702"/>
      <c r="K5" s="702"/>
      <c r="L5" s="702" t="s">
        <v>186</v>
      </c>
      <c r="M5" s="702"/>
      <c r="N5" s="702"/>
      <c r="O5" s="702" t="s">
        <v>186</v>
      </c>
      <c r="P5" s="702" t="s">
        <v>186</v>
      </c>
      <c r="Q5" s="703" t="s">
        <v>186</v>
      </c>
    </row>
    <row r="6" spans="1:17" s="330" customFormat="1" ht="17.25" customHeight="1" x14ac:dyDescent="0.2">
      <c r="A6" s="781"/>
      <c r="B6" s="446" t="s">
        <v>247</v>
      </c>
      <c r="C6" s="701" t="s">
        <v>248</v>
      </c>
      <c r="D6" s="702" t="s">
        <v>186</v>
      </c>
      <c r="E6" s="702" t="s">
        <v>186</v>
      </c>
      <c r="F6" s="702"/>
      <c r="G6" s="702"/>
      <c r="H6" s="702"/>
      <c r="I6" s="702"/>
      <c r="J6" s="702"/>
      <c r="K6" s="702"/>
      <c r="L6" s="702"/>
      <c r="M6" s="702"/>
      <c r="N6" s="702"/>
      <c r="O6" s="702" t="s">
        <v>186</v>
      </c>
      <c r="P6" s="702"/>
      <c r="Q6" s="703"/>
    </row>
    <row r="7" spans="1:17" s="330" customFormat="1" ht="17.25" customHeight="1" x14ac:dyDescent="0.2">
      <c r="A7" s="781"/>
      <c r="B7" s="446" t="s">
        <v>249</v>
      </c>
      <c r="C7" s="701" t="s">
        <v>250</v>
      </c>
      <c r="D7" s="702" t="s">
        <v>186</v>
      </c>
      <c r="E7" s="702" t="s">
        <v>186</v>
      </c>
      <c r="F7" s="702" t="s">
        <v>186</v>
      </c>
      <c r="G7" s="702" t="s">
        <v>186</v>
      </c>
      <c r="H7" s="702"/>
      <c r="I7" s="702" t="s">
        <v>186</v>
      </c>
      <c r="J7" s="702" t="s">
        <v>186</v>
      </c>
      <c r="K7" s="702"/>
      <c r="L7" s="702" t="s">
        <v>186</v>
      </c>
      <c r="M7" s="702"/>
      <c r="N7" s="702"/>
      <c r="O7" s="702" t="s">
        <v>186</v>
      </c>
      <c r="P7" s="702" t="s">
        <v>186</v>
      </c>
      <c r="Q7" s="703" t="s">
        <v>186</v>
      </c>
    </row>
    <row r="8" spans="1:17" s="330" customFormat="1" ht="17.25" customHeight="1" x14ac:dyDescent="0.2">
      <c r="A8" s="781"/>
      <c r="B8" s="446" t="s">
        <v>251</v>
      </c>
      <c r="C8" s="701" t="s">
        <v>252</v>
      </c>
      <c r="D8" s="702" t="s">
        <v>186</v>
      </c>
      <c r="E8" s="702" t="s">
        <v>186</v>
      </c>
      <c r="F8" s="702" t="s">
        <v>186</v>
      </c>
      <c r="G8" s="702" t="s">
        <v>186</v>
      </c>
      <c r="H8" s="702"/>
      <c r="I8" s="702"/>
      <c r="J8" s="702"/>
      <c r="K8" s="702"/>
      <c r="L8" s="702" t="s">
        <v>186</v>
      </c>
      <c r="M8" s="702"/>
      <c r="N8" s="702"/>
      <c r="O8" s="702" t="s">
        <v>186</v>
      </c>
      <c r="P8" s="702"/>
      <c r="Q8" s="703"/>
    </row>
    <row r="9" spans="1:17" s="330" customFormat="1" ht="17.25" customHeight="1" x14ac:dyDescent="0.2">
      <c r="A9" s="781"/>
      <c r="B9" s="446" t="s">
        <v>253</v>
      </c>
      <c r="C9" s="701" t="s">
        <v>254</v>
      </c>
      <c r="D9" s="702" t="s">
        <v>186</v>
      </c>
      <c r="E9" s="702" t="s">
        <v>186</v>
      </c>
      <c r="F9" s="702"/>
      <c r="G9" s="702" t="s">
        <v>186</v>
      </c>
      <c r="H9" s="702"/>
      <c r="I9" s="702" t="s">
        <v>186</v>
      </c>
      <c r="J9" s="702"/>
      <c r="K9" s="702"/>
      <c r="L9" s="702" t="s">
        <v>186</v>
      </c>
      <c r="M9" s="702"/>
      <c r="N9" s="702"/>
      <c r="O9" s="702" t="s">
        <v>186</v>
      </c>
      <c r="P9" s="702" t="s">
        <v>186</v>
      </c>
      <c r="Q9" s="703" t="s">
        <v>186</v>
      </c>
    </row>
    <row r="10" spans="1:17" s="330" customFormat="1" ht="17.25" customHeight="1" thickBot="1" x14ac:dyDescent="0.25">
      <c r="A10" s="782"/>
      <c r="B10" s="449" t="s">
        <v>255</v>
      </c>
      <c r="C10" s="450" t="s">
        <v>256</v>
      </c>
      <c r="D10" s="451" t="s">
        <v>186</v>
      </c>
      <c r="E10" s="451" t="s">
        <v>186</v>
      </c>
      <c r="F10" s="451" t="s">
        <v>186</v>
      </c>
      <c r="G10" s="451"/>
      <c r="H10" s="451"/>
      <c r="I10" s="451"/>
      <c r="J10" s="451"/>
      <c r="K10" s="451"/>
      <c r="L10" s="451" t="s">
        <v>186</v>
      </c>
      <c r="M10" s="451" t="s">
        <v>186</v>
      </c>
      <c r="N10" s="451"/>
      <c r="O10" s="451" t="s">
        <v>186</v>
      </c>
      <c r="P10" s="451"/>
      <c r="Q10" s="452"/>
    </row>
  </sheetData>
  <mergeCells count="2">
    <mergeCell ref="A3:A10"/>
    <mergeCell ref="D1:Q1"/>
  </mergeCells>
  <conditionalFormatting sqref="D3:Q10">
    <cfRule type="cellIs" dxfId="1" priority="1" operator="equal">
      <formula>""</formula>
    </cfRule>
  </conditionalFormatting>
  <hyperlinks>
    <hyperlink ref="C1" location="Inventory!A1" display="Inventory" xr:uid="{00000000-0004-0000-0C00-000000000000}"/>
  </hyperlinks>
  <pageMargins left="0.75" right="0.75" top="1" bottom="1" header="0.5" footer="0.5"/>
  <pageSetup paperSize="17" scale="4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2"/>
  <sheetViews>
    <sheetView showGridLines="0" workbookViewId="0">
      <selection activeCell="A2" sqref="A2"/>
    </sheetView>
  </sheetViews>
  <sheetFormatPr defaultRowHeight="12.75" x14ac:dyDescent="0.2"/>
  <cols>
    <col min="1" max="1" width="54.5703125" style="412" bestFit="1" customWidth="1"/>
    <col min="2" max="3" width="29.85546875" style="412" customWidth="1"/>
    <col min="4" max="4" width="34.7109375" style="412" bestFit="1" customWidth="1"/>
    <col min="5" max="6" width="29.85546875" style="412" customWidth="1"/>
    <col min="7" max="9" width="9.140625" style="412"/>
    <col min="10" max="10" width="9.42578125" style="412" bestFit="1" customWidth="1"/>
    <col min="11" max="16384" width="9.140625" style="412"/>
  </cols>
  <sheetData>
    <row r="1" spans="1:10" ht="15.75" x14ac:dyDescent="0.25">
      <c r="A1" s="704" t="s">
        <v>257</v>
      </c>
      <c r="B1" s="704" t="s">
        <v>197</v>
      </c>
      <c r="C1" s="704" t="s">
        <v>200</v>
      </c>
      <c r="D1" s="704" t="s">
        <v>204</v>
      </c>
      <c r="E1" s="704" t="s">
        <v>215</v>
      </c>
      <c r="F1" s="704" t="s">
        <v>212</v>
      </c>
      <c r="H1" s="296" t="s">
        <v>44</v>
      </c>
      <c r="J1" s="413">
        <v>44825</v>
      </c>
    </row>
    <row r="2" spans="1:10" x14ac:dyDescent="0.2">
      <c r="A2" s="705" t="s">
        <v>198</v>
      </c>
      <c r="B2" s="706">
        <f>(LARGE(_xlfn.UNIQUE(B3:B12),1)+LARGE(_xlfn.UNIQUE(B3:B12),2)+LARGE(_xlfn.UNIQUE(B3:B12),3))/3</f>
        <v>0.846447144175699</v>
      </c>
      <c r="C2" s="706">
        <f t="shared" ref="C2:F2" si="0">(LARGE(_xlfn.UNIQUE(C3:C12),1)+LARGE(_xlfn.UNIQUE(C3:C12),2)+LARGE(_xlfn.UNIQUE(C3:C12),3))/3</f>
        <v>0.84644714417569877</v>
      </c>
      <c r="D2" s="706">
        <f t="shared" si="0"/>
        <v>0.84644714417569877</v>
      </c>
      <c r="E2" s="706">
        <f t="shared" si="0"/>
        <v>0.84853598425893939</v>
      </c>
      <c r="F2" s="706">
        <f t="shared" si="0"/>
        <v>0.84853598425893895</v>
      </c>
    </row>
    <row r="3" spans="1:10" x14ac:dyDescent="0.2">
      <c r="A3" s="707" t="s">
        <v>142</v>
      </c>
      <c r="B3" s="708">
        <v>0.68039861613732378</v>
      </c>
      <c r="C3" s="708">
        <v>0.68039861613732344</v>
      </c>
      <c r="D3" s="708">
        <v>0.68039861613732344</v>
      </c>
      <c r="E3" s="708">
        <v>0.6883040568262192</v>
      </c>
      <c r="F3" s="708">
        <v>0.68830405682621854</v>
      </c>
    </row>
    <row r="4" spans="1:10" x14ac:dyDescent="0.2">
      <c r="A4" s="707" t="s">
        <v>143</v>
      </c>
      <c r="B4" s="708">
        <v>0.51802981180318275</v>
      </c>
      <c r="C4" s="708">
        <v>0.51802981180318264</v>
      </c>
      <c r="D4" s="708">
        <v>0.51802981180318242</v>
      </c>
      <c r="E4" s="708">
        <v>0.52404871580322154</v>
      </c>
      <c r="F4" s="708">
        <v>0.52404871580322121</v>
      </c>
    </row>
    <row r="5" spans="1:10" x14ac:dyDescent="0.2">
      <c r="A5" s="709" t="s">
        <v>144</v>
      </c>
      <c r="B5" s="708">
        <v>0.52904319969406455</v>
      </c>
      <c r="C5" s="708">
        <v>0.52904319969406421</v>
      </c>
      <c r="D5" s="708">
        <v>0.5290431996940641</v>
      </c>
      <c r="E5" s="708">
        <v>0.52357122934675926</v>
      </c>
      <c r="F5" s="708">
        <v>0.52357122934675915</v>
      </c>
    </row>
    <row r="6" spans="1:10" x14ac:dyDescent="0.2">
      <c r="A6" s="709" t="s">
        <v>145</v>
      </c>
      <c r="B6" s="708">
        <v>0.35723434859631076</v>
      </c>
      <c r="C6" s="708">
        <v>0.35723434859631065</v>
      </c>
      <c r="D6" s="708">
        <v>0.35723434859631048</v>
      </c>
      <c r="E6" s="708">
        <v>0.36138499630176463</v>
      </c>
      <c r="F6" s="708">
        <v>0.36138499630176446</v>
      </c>
    </row>
    <row r="7" spans="1:10" x14ac:dyDescent="0.2">
      <c r="A7" s="710" t="s">
        <v>146</v>
      </c>
      <c r="B7" s="708">
        <v>0.45841156910101094</v>
      </c>
      <c r="C7" s="708">
        <v>0.45841156910101055</v>
      </c>
      <c r="D7" s="708">
        <v>0.45841156910101039</v>
      </c>
      <c r="E7" s="708">
        <v>0.45211894134322572</v>
      </c>
      <c r="F7" s="708">
        <v>0.45211894134322561</v>
      </c>
    </row>
    <row r="8" spans="1:10" x14ac:dyDescent="0.2">
      <c r="A8" s="709" t="s">
        <v>147</v>
      </c>
      <c r="B8" s="708">
        <v>0.25472392850481979</v>
      </c>
      <c r="C8" s="708">
        <v>0.25472392850481967</v>
      </c>
      <c r="D8" s="708">
        <v>0.25472392850481967</v>
      </c>
      <c r="E8" s="708">
        <v>0.25768352433743513</v>
      </c>
      <c r="F8" s="708">
        <v>0.25768352433743502</v>
      </c>
    </row>
    <row r="9" spans="1:10" x14ac:dyDescent="0.2">
      <c r="A9" s="709" t="s">
        <v>148</v>
      </c>
      <c r="B9" s="708">
        <v>0.85894281638977332</v>
      </c>
      <c r="C9" s="708">
        <v>0.8589428163897731</v>
      </c>
      <c r="D9" s="708">
        <v>0.8589428163897731</v>
      </c>
      <c r="E9" s="708">
        <v>0.85730389595059886</v>
      </c>
      <c r="F9" s="708">
        <v>0.8573038959505983</v>
      </c>
    </row>
    <row r="10" spans="1:10" x14ac:dyDescent="0.2">
      <c r="A10" s="709" t="s">
        <v>149</v>
      </c>
      <c r="B10" s="708">
        <v>0.32891411420612249</v>
      </c>
      <c r="C10" s="708">
        <v>0.32891411420612238</v>
      </c>
      <c r="D10" s="708">
        <v>0.32891411420612232</v>
      </c>
      <c r="E10" s="708">
        <v>0.33273571372135774</v>
      </c>
      <c r="F10" s="708">
        <v>0.33273571372135763</v>
      </c>
    </row>
    <row r="11" spans="1:10" x14ac:dyDescent="0.2">
      <c r="A11" s="709" t="s">
        <v>150</v>
      </c>
      <c r="B11" s="708">
        <v>0.1750413519592332</v>
      </c>
      <c r="C11" s="708">
        <v>0.17504135195923315</v>
      </c>
      <c r="D11" s="708">
        <v>0.17504135195923312</v>
      </c>
      <c r="E11" s="708">
        <v>0.17707512891467975</v>
      </c>
      <c r="F11" s="708">
        <v>0.17707512891467972</v>
      </c>
    </row>
    <row r="12" spans="1:10" x14ac:dyDescent="0.2">
      <c r="A12" s="507" t="s">
        <v>151</v>
      </c>
      <c r="B12" s="708">
        <v>1</v>
      </c>
      <c r="C12" s="708">
        <v>1</v>
      </c>
      <c r="D12" s="708">
        <v>1</v>
      </c>
      <c r="E12" s="708">
        <v>1</v>
      </c>
      <c r="F12" s="708">
        <v>1</v>
      </c>
    </row>
    <row r="17" spans="1:1" ht="15.75" x14ac:dyDescent="0.25">
      <c r="A17" s="704" t="s">
        <v>258</v>
      </c>
    </row>
    <row r="18" spans="1:1" x14ac:dyDescent="0.2">
      <c r="A18" s="709" t="s">
        <v>197</v>
      </c>
    </row>
    <row r="19" spans="1:1" x14ac:dyDescent="0.2">
      <c r="A19" s="709" t="s">
        <v>200</v>
      </c>
    </row>
    <row r="20" spans="1:1" x14ac:dyDescent="0.2">
      <c r="A20" s="709" t="s">
        <v>204</v>
      </c>
    </row>
    <row r="21" spans="1:1" x14ac:dyDescent="0.2">
      <c r="A21" s="709" t="s">
        <v>215</v>
      </c>
    </row>
    <row r="22" spans="1:1" x14ac:dyDescent="0.2">
      <c r="A22" s="709" t="s">
        <v>212</v>
      </c>
    </row>
  </sheetData>
  <conditionalFormatting sqref="B2:F2">
    <cfRule type="cellIs" dxfId="0" priority="1" operator="between">
      <formula>0.9</formula>
      <formula>0.99</formula>
    </cfRule>
  </conditionalFormatting>
  <hyperlinks>
    <hyperlink ref="H1" location="Inventory!A1" display="Inventory"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BY94"/>
  <sheetViews>
    <sheetView showGridLines="0" zoomScaleNormal="100" workbookViewId="0">
      <selection activeCell="E2" sqref="E2"/>
    </sheetView>
  </sheetViews>
  <sheetFormatPr defaultRowHeight="12.75" x14ac:dyDescent="0.2"/>
  <cols>
    <col min="1" max="1" width="14.85546875" style="53" bestFit="1" customWidth="1"/>
    <col min="2" max="2" width="17.28515625" style="317" customWidth="1"/>
    <col min="3" max="3" width="44.7109375" style="53" customWidth="1"/>
    <col min="4" max="4" width="100.7109375" style="53" customWidth="1"/>
    <col min="5" max="5" width="12.7109375" style="318" bestFit="1" customWidth="1"/>
    <col min="6" max="10" width="9.140625" style="318"/>
    <col min="11" max="256" width="9.140625" style="53"/>
    <col min="257" max="257" width="14.85546875" style="53" bestFit="1" customWidth="1"/>
    <col min="258" max="258" width="13.140625" style="53" customWidth="1"/>
    <col min="259" max="259" width="31.7109375" style="53" customWidth="1"/>
    <col min="260" max="260" width="100.7109375" style="53" customWidth="1"/>
    <col min="261" max="512" width="9.140625" style="53"/>
    <col min="513" max="513" width="14.85546875" style="53" bestFit="1" customWidth="1"/>
    <col min="514" max="514" width="13.140625" style="53" customWidth="1"/>
    <col min="515" max="515" width="31.7109375" style="53" customWidth="1"/>
    <col min="516" max="516" width="100.7109375" style="53" customWidth="1"/>
    <col min="517" max="768" width="9.140625" style="53"/>
    <col min="769" max="769" width="14.85546875" style="53" bestFit="1" customWidth="1"/>
    <col min="770" max="770" width="13.140625" style="53" customWidth="1"/>
    <col min="771" max="771" width="31.7109375" style="53" customWidth="1"/>
    <col min="772" max="772" width="100.7109375" style="53" customWidth="1"/>
    <col min="773" max="1024" width="9.140625" style="53"/>
    <col min="1025" max="1025" width="14.85546875" style="53" bestFit="1" customWidth="1"/>
    <col min="1026" max="1026" width="13.140625" style="53" customWidth="1"/>
    <col min="1027" max="1027" width="31.7109375" style="53" customWidth="1"/>
    <col min="1028" max="1028" width="100.7109375" style="53" customWidth="1"/>
    <col min="1029" max="1280" width="9.140625" style="53"/>
    <col min="1281" max="1281" width="14.85546875" style="53" bestFit="1" customWidth="1"/>
    <col min="1282" max="1282" width="13.140625" style="53" customWidth="1"/>
    <col min="1283" max="1283" width="31.7109375" style="53" customWidth="1"/>
    <col min="1284" max="1284" width="100.7109375" style="53" customWidth="1"/>
    <col min="1285" max="1536" width="9.140625" style="53"/>
    <col min="1537" max="1537" width="14.85546875" style="53" bestFit="1" customWidth="1"/>
    <col min="1538" max="1538" width="13.140625" style="53" customWidth="1"/>
    <col min="1539" max="1539" width="31.7109375" style="53" customWidth="1"/>
    <col min="1540" max="1540" width="100.7109375" style="53" customWidth="1"/>
    <col min="1541" max="1792" width="9.140625" style="53"/>
    <col min="1793" max="1793" width="14.85546875" style="53" bestFit="1" customWidth="1"/>
    <col min="1794" max="1794" width="13.140625" style="53" customWidth="1"/>
    <col min="1795" max="1795" width="31.7109375" style="53" customWidth="1"/>
    <col min="1796" max="1796" width="100.7109375" style="53" customWidth="1"/>
    <col min="1797" max="2048" width="9.140625" style="53"/>
    <col min="2049" max="2049" width="14.85546875" style="53" bestFit="1" customWidth="1"/>
    <col min="2050" max="2050" width="13.140625" style="53" customWidth="1"/>
    <col min="2051" max="2051" width="31.7109375" style="53" customWidth="1"/>
    <col min="2052" max="2052" width="100.7109375" style="53" customWidth="1"/>
    <col min="2053" max="2304" width="9.140625" style="53"/>
    <col min="2305" max="2305" width="14.85546875" style="53" bestFit="1" customWidth="1"/>
    <col min="2306" max="2306" width="13.140625" style="53" customWidth="1"/>
    <col min="2307" max="2307" width="31.7109375" style="53" customWidth="1"/>
    <col min="2308" max="2308" width="100.7109375" style="53" customWidth="1"/>
    <col min="2309" max="2560" width="9.140625" style="53"/>
    <col min="2561" max="2561" width="14.85546875" style="53" bestFit="1" customWidth="1"/>
    <col min="2562" max="2562" width="13.140625" style="53" customWidth="1"/>
    <col min="2563" max="2563" width="31.7109375" style="53" customWidth="1"/>
    <col min="2564" max="2564" width="100.7109375" style="53" customWidth="1"/>
    <col min="2565" max="2816" width="9.140625" style="53"/>
    <col min="2817" max="2817" width="14.85546875" style="53" bestFit="1" customWidth="1"/>
    <col min="2818" max="2818" width="13.140625" style="53" customWidth="1"/>
    <col min="2819" max="2819" width="31.7109375" style="53" customWidth="1"/>
    <col min="2820" max="2820" width="100.7109375" style="53" customWidth="1"/>
    <col min="2821" max="3072" width="9.140625" style="53"/>
    <col min="3073" max="3073" width="14.85546875" style="53" bestFit="1" customWidth="1"/>
    <col min="3074" max="3074" width="13.140625" style="53" customWidth="1"/>
    <col min="3075" max="3075" width="31.7109375" style="53" customWidth="1"/>
    <col min="3076" max="3076" width="100.7109375" style="53" customWidth="1"/>
    <col min="3077" max="3328" width="9.140625" style="53"/>
    <col min="3329" max="3329" width="14.85546875" style="53" bestFit="1" customWidth="1"/>
    <col min="3330" max="3330" width="13.140625" style="53" customWidth="1"/>
    <col min="3331" max="3331" width="31.7109375" style="53" customWidth="1"/>
    <col min="3332" max="3332" width="100.7109375" style="53" customWidth="1"/>
    <col min="3333" max="3584" width="9.140625" style="53"/>
    <col min="3585" max="3585" width="14.85546875" style="53" bestFit="1" customWidth="1"/>
    <col min="3586" max="3586" width="13.140625" style="53" customWidth="1"/>
    <col min="3587" max="3587" width="31.7109375" style="53" customWidth="1"/>
    <col min="3588" max="3588" width="100.7109375" style="53" customWidth="1"/>
    <col min="3589" max="3840" width="9.140625" style="53"/>
    <col min="3841" max="3841" width="14.85546875" style="53" bestFit="1" customWidth="1"/>
    <col min="3842" max="3842" width="13.140625" style="53" customWidth="1"/>
    <col min="3843" max="3843" width="31.7109375" style="53" customWidth="1"/>
    <col min="3844" max="3844" width="100.7109375" style="53" customWidth="1"/>
    <col min="3845" max="4096" width="9.140625" style="53"/>
    <col min="4097" max="4097" width="14.85546875" style="53" bestFit="1" customWidth="1"/>
    <col min="4098" max="4098" width="13.140625" style="53" customWidth="1"/>
    <col min="4099" max="4099" width="31.7109375" style="53" customWidth="1"/>
    <col min="4100" max="4100" width="100.7109375" style="53" customWidth="1"/>
    <col min="4101" max="4352" width="9.140625" style="53"/>
    <col min="4353" max="4353" width="14.85546875" style="53" bestFit="1" customWidth="1"/>
    <col min="4354" max="4354" width="13.140625" style="53" customWidth="1"/>
    <col min="4355" max="4355" width="31.7109375" style="53" customWidth="1"/>
    <col min="4356" max="4356" width="100.7109375" style="53" customWidth="1"/>
    <col min="4357" max="4608" width="9.140625" style="53"/>
    <col min="4609" max="4609" width="14.85546875" style="53" bestFit="1" customWidth="1"/>
    <col min="4610" max="4610" width="13.140625" style="53" customWidth="1"/>
    <col min="4611" max="4611" width="31.7109375" style="53" customWidth="1"/>
    <col min="4612" max="4612" width="100.7109375" style="53" customWidth="1"/>
    <col min="4613" max="4864" width="9.140625" style="53"/>
    <col min="4865" max="4865" width="14.85546875" style="53" bestFit="1" customWidth="1"/>
    <col min="4866" max="4866" width="13.140625" style="53" customWidth="1"/>
    <col min="4867" max="4867" width="31.7109375" style="53" customWidth="1"/>
    <col min="4868" max="4868" width="100.7109375" style="53" customWidth="1"/>
    <col min="4869" max="5120" width="9.140625" style="53"/>
    <col min="5121" max="5121" width="14.85546875" style="53" bestFit="1" customWidth="1"/>
    <col min="5122" max="5122" width="13.140625" style="53" customWidth="1"/>
    <col min="5123" max="5123" width="31.7109375" style="53" customWidth="1"/>
    <col min="5124" max="5124" width="100.7109375" style="53" customWidth="1"/>
    <col min="5125" max="5376" width="9.140625" style="53"/>
    <col min="5377" max="5377" width="14.85546875" style="53" bestFit="1" customWidth="1"/>
    <col min="5378" max="5378" width="13.140625" style="53" customWidth="1"/>
    <col min="5379" max="5379" width="31.7109375" style="53" customWidth="1"/>
    <col min="5380" max="5380" width="100.7109375" style="53" customWidth="1"/>
    <col min="5381" max="5632" width="9.140625" style="53"/>
    <col min="5633" max="5633" width="14.85546875" style="53" bestFit="1" customWidth="1"/>
    <col min="5634" max="5634" width="13.140625" style="53" customWidth="1"/>
    <col min="5635" max="5635" width="31.7109375" style="53" customWidth="1"/>
    <col min="5636" max="5636" width="100.7109375" style="53" customWidth="1"/>
    <col min="5637" max="5888" width="9.140625" style="53"/>
    <col min="5889" max="5889" width="14.85546875" style="53" bestFit="1" customWidth="1"/>
    <col min="5890" max="5890" width="13.140625" style="53" customWidth="1"/>
    <col min="5891" max="5891" width="31.7109375" style="53" customWidth="1"/>
    <col min="5892" max="5892" width="100.7109375" style="53" customWidth="1"/>
    <col min="5893" max="6144" width="9.140625" style="53"/>
    <col min="6145" max="6145" width="14.85546875" style="53" bestFit="1" customWidth="1"/>
    <col min="6146" max="6146" width="13.140625" style="53" customWidth="1"/>
    <col min="6147" max="6147" width="31.7109375" style="53" customWidth="1"/>
    <col min="6148" max="6148" width="100.7109375" style="53" customWidth="1"/>
    <col min="6149" max="6400" width="9.140625" style="53"/>
    <col min="6401" max="6401" width="14.85546875" style="53" bestFit="1" customWidth="1"/>
    <col min="6402" max="6402" width="13.140625" style="53" customWidth="1"/>
    <col min="6403" max="6403" width="31.7109375" style="53" customWidth="1"/>
    <col min="6404" max="6404" width="100.7109375" style="53" customWidth="1"/>
    <col min="6405" max="6656" width="9.140625" style="53"/>
    <col min="6657" max="6657" width="14.85546875" style="53" bestFit="1" customWidth="1"/>
    <col min="6658" max="6658" width="13.140625" style="53" customWidth="1"/>
    <col min="6659" max="6659" width="31.7109375" style="53" customWidth="1"/>
    <col min="6660" max="6660" width="100.7109375" style="53" customWidth="1"/>
    <col min="6661" max="6912" width="9.140625" style="53"/>
    <col min="6913" max="6913" width="14.85546875" style="53" bestFit="1" customWidth="1"/>
    <col min="6914" max="6914" width="13.140625" style="53" customWidth="1"/>
    <col min="6915" max="6915" width="31.7109375" style="53" customWidth="1"/>
    <col min="6916" max="6916" width="100.7109375" style="53" customWidth="1"/>
    <col min="6917" max="7168" width="9.140625" style="53"/>
    <col min="7169" max="7169" width="14.85546875" style="53" bestFit="1" customWidth="1"/>
    <col min="7170" max="7170" width="13.140625" style="53" customWidth="1"/>
    <col min="7171" max="7171" width="31.7109375" style="53" customWidth="1"/>
    <col min="7172" max="7172" width="100.7109375" style="53" customWidth="1"/>
    <col min="7173" max="7424" width="9.140625" style="53"/>
    <col min="7425" max="7425" width="14.85546875" style="53" bestFit="1" customWidth="1"/>
    <col min="7426" max="7426" width="13.140625" style="53" customWidth="1"/>
    <col min="7427" max="7427" width="31.7109375" style="53" customWidth="1"/>
    <col min="7428" max="7428" width="100.7109375" style="53" customWidth="1"/>
    <col min="7429" max="7680" width="9.140625" style="53"/>
    <col min="7681" max="7681" width="14.85546875" style="53" bestFit="1" customWidth="1"/>
    <col min="7682" max="7682" width="13.140625" style="53" customWidth="1"/>
    <col min="7683" max="7683" width="31.7109375" style="53" customWidth="1"/>
    <col min="7684" max="7684" width="100.7109375" style="53" customWidth="1"/>
    <col min="7685" max="7936" width="9.140625" style="53"/>
    <col min="7937" max="7937" width="14.85546875" style="53" bestFit="1" customWidth="1"/>
    <col min="7938" max="7938" width="13.140625" style="53" customWidth="1"/>
    <col min="7939" max="7939" width="31.7109375" style="53" customWidth="1"/>
    <col min="7940" max="7940" width="100.7109375" style="53" customWidth="1"/>
    <col min="7941" max="8192" width="9.140625" style="53"/>
    <col min="8193" max="8193" width="14.85546875" style="53" bestFit="1" customWidth="1"/>
    <col min="8194" max="8194" width="13.140625" style="53" customWidth="1"/>
    <col min="8195" max="8195" width="31.7109375" style="53" customWidth="1"/>
    <col min="8196" max="8196" width="100.7109375" style="53" customWidth="1"/>
    <col min="8197" max="8448" width="9.140625" style="53"/>
    <col min="8449" max="8449" width="14.85546875" style="53" bestFit="1" customWidth="1"/>
    <col min="8450" max="8450" width="13.140625" style="53" customWidth="1"/>
    <col min="8451" max="8451" width="31.7109375" style="53" customWidth="1"/>
    <col min="8452" max="8452" width="100.7109375" style="53" customWidth="1"/>
    <col min="8453" max="8704" width="9.140625" style="53"/>
    <col min="8705" max="8705" width="14.85546875" style="53" bestFit="1" customWidth="1"/>
    <col min="8706" max="8706" width="13.140625" style="53" customWidth="1"/>
    <col min="8707" max="8707" width="31.7109375" style="53" customWidth="1"/>
    <col min="8708" max="8708" width="100.7109375" style="53" customWidth="1"/>
    <col min="8709" max="8960" width="9.140625" style="53"/>
    <col min="8961" max="8961" width="14.85546875" style="53" bestFit="1" customWidth="1"/>
    <col min="8962" max="8962" width="13.140625" style="53" customWidth="1"/>
    <col min="8963" max="8963" width="31.7109375" style="53" customWidth="1"/>
    <col min="8964" max="8964" width="100.7109375" style="53" customWidth="1"/>
    <col min="8965" max="9216" width="9.140625" style="53"/>
    <col min="9217" max="9217" width="14.85546875" style="53" bestFit="1" customWidth="1"/>
    <col min="9218" max="9218" width="13.140625" style="53" customWidth="1"/>
    <col min="9219" max="9219" width="31.7109375" style="53" customWidth="1"/>
    <col min="9220" max="9220" width="100.7109375" style="53" customWidth="1"/>
    <col min="9221" max="9472" width="9.140625" style="53"/>
    <col min="9473" max="9473" width="14.85546875" style="53" bestFit="1" customWidth="1"/>
    <col min="9474" max="9474" width="13.140625" style="53" customWidth="1"/>
    <col min="9475" max="9475" width="31.7109375" style="53" customWidth="1"/>
    <col min="9476" max="9476" width="100.7109375" style="53" customWidth="1"/>
    <col min="9477" max="9728" width="9.140625" style="53"/>
    <col min="9729" max="9729" width="14.85546875" style="53" bestFit="1" customWidth="1"/>
    <col min="9730" max="9730" width="13.140625" style="53" customWidth="1"/>
    <col min="9731" max="9731" width="31.7109375" style="53" customWidth="1"/>
    <col min="9732" max="9732" width="100.7109375" style="53" customWidth="1"/>
    <col min="9733" max="9984" width="9.140625" style="53"/>
    <col min="9985" max="9985" width="14.85546875" style="53" bestFit="1" customWidth="1"/>
    <col min="9986" max="9986" width="13.140625" style="53" customWidth="1"/>
    <col min="9987" max="9987" width="31.7109375" style="53" customWidth="1"/>
    <col min="9988" max="9988" width="100.7109375" style="53" customWidth="1"/>
    <col min="9989" max="10240" width="9.140625" style="53"/>
    <col min="10241" max="10241" width="14.85546875" style="53" bestFit="1" customWidth="1"/>
    <col min="10242" max="10242" width="13.140625" style="53" customWidth="1"/>
    <col min="10243" max="10243" width="31.7109375" style="53" customWidth="1"/>
    <col min="10244" max="10244" width="100.7109375" style="53" customWidth="1"/>
    <col min="10245" max="10496" width="9.140625" style="53"/>
    <col min="10497" max="10497" width="14.85546875" style="53" bestFit="1" customWidth="1"/>
    <col min="10498" max="10498" width="13.140625" style="53" customWidth="1"/>
    <col min="10499" max="10499" width="31.7109375" style="53" customWidth="1"/>
    <col min="10500" max="10500" width="100.7109375" style="53" customWidth="1"/>
    <col min="10501" max="10752" width="9.140625" style="53"/>
    <col min="10753" max="10753" width="14.85546875" style="53" bestFit="1" customWidth="1"/>
    <col min="10754" max="10754" width="13.140625" style="53" customWidth="1"/>
    <col min="10755" max="10755" width="31.7109375" style="53" customWidth="1"/>
    <col min="10756" max="10756" width="100.7109375" style="53" customWidth="1"/>
    <col min="10757" max="11008" width="9.140625" style="53"/>
    <col min="11009" max="11009" width="14.85546875" style="53" bestFit="1" customWidth="1"/>
    <col min="11010" max="11010" width="13.140625" style="53" customWidth="1"/>
    <col min="11011" max="11011" width="31.7109375" style="53" customWidth="1"/>
    <col min="11012" max="11012" width="100.7109375" style="53" customWidth="1"/>
    <col min="11013" max="11264" width="9.140625" style="53"/>
    <col min="11265" max="11265" width="14.85546875" style="53" bestFit="1" customWidth="1"/>
    <col min="11266" max="11266" width="13.140625" style="53" customWidth="1"/>
    <col min="11267" max="11267" width="31.7109375" style="53" customWidth="1"/>
    <col min="11268" max="11268" width="100.7109375" style="53" customWidth="1"/>
    <col min="11269" max="11520" width="9.140625" style="53"/>
    <col min="11521" max="11521" width="14.85546875" style="53" bestFit="1" customWidth="1"/>
    <col min="11522" max="11522" width="13.140625" style="53" customWidth="1"/>
    <col min="11523" max="11523" width="31.7109375" style="53" customWidth="1"/>
    <col min="11524" max="11524" width="100.7109375" style="53" customWidth="1"/>
    <col min="11525" max="11776" width="9.140625" style="53"/>
    <col min="11777" max="11777" width="14.85546875" style="53" bestFit="1" customWidth="1"/>
    <col min="11778" max="11778" width="13.140625" style="53" customWidth="1"/>
    <col min="11779" max="11779" width="31.7109375" style="53" customWidth="1"/>
    <col min="11780" max="11780" width="100.7109375" style="53" customWidth="1"/>
    <col min="11781" max="12032" width="9.140625" style="53"/>
    <col min="12033" max="12033" width="14.85546875" style="53" bestFit="1" customWidth="1"/>
    <col min="12034" max="12034" width="13.140625" style="53" customWidth="1"/>
    <col min="12035" max="12035" width="31.7109375" style="53" customWidth="1"/>
    <col min="12036" max="12036" width="100.7109375" style="53" customWidth="1"/>
    <col min="12037" max="12288" width="9.140625" style="53"/>
    <col min="12289" max="12289" width="14.85546875" style="53" bestFit="1" customWidth="1"/>
    <col min="12290" max="12290" width="13.140625" style="53" customWidth="1"/>
    <col min="12291" max="12291" width="31.7109375" style="53" customWidth="1"/>
    <col min="12292" max="12292" width="100.7109375" style="53" customWidth="1"/>
    <col min="12293" max="12544" width="9.140625" style="53"/>
    <col min="12545" max="12545" width="14.85546875" style="53" bestFit="1" customWidth="1"/>
    <col min="12546" max="12546" width="13.140625" style="53" customWidth="1"/>
    <col min="12547" max="12547" width="31.7109375" style="53" customWidth="1"/>
    <col min="12548" max="12548" width="100.7109375" style="53" customWidth="1"/>
    <col min="12549" max="12800" width="9.140625" style="53"/>
    <col min="12801" max="12801" width="14.85546875" style="53" bestFit="1" customWidth="1"/>
    <col min="12802" max="12802" width="13.140625" style="53" customWidth="1"/>
    <col min="12803" max="12803" width="31.7109375" style="53" customWidth="1"/>
    <col min="12804" max="12804" width="100.7109375" style="53" customWidth="1"/>
    <col min="12805" max="13056" width="9.140625" style="53"/>
    <col min="13057" max="13057" width="14.85546875" style="53" bestFit="1" customWidth="1"/>
    <col min="13058" max="13058" width="13.140625" style="53" customWidth="1"/>
    <col min="13059" max="13059" width="31.7109375" style="53" customWidth="1"/>
    <col min="13060" max="13060" width="100.7109375" style="53" customWidth="1"/>
    <col min="13061" max="13312" width="9.140625" style="53"/>
    <col min="13313" max="13313" width="14.85546875" style="53" bestFit="1" customWidth="1"/>
    <col min="13314" max="13314" width="13.140625" style="53" customWidth="1"/>
    <col min="13315" max="13315" width="31.7109375" style="53" customWidth="1"/>
    <col min="13316" max="13316" width="100.7109375" style="53" customWidth="1"/>
    <col min="13317" max="13568" width="9.140625" style="53"/>
    <col min="13569" max="13569" width="14.85546875" style="53" bestFit="1" customWidth="1"/>
    <col min="13570" max="13570" width="13.140625" style="53" customWidth="1"/>
    <col min="13571" max="13571" width="31.7109375" style="53" customWidth="1"/>
    <col min="13572" max="13572" width="100.7109375" style="53" customWidth="1"/>
    <col min="13573" max="13824" width="9.140625" style="53"/>
    <col min="13825" max="13825" width="14.85546875" style="53" bestFit="1" customWidth="1"/>
    <col min="13826" max="13826" width="13.140625" style="53" customWidth="1"/>
    <col min="13827" max="13827" width="31.7109375" style="53" customWidth="1"/>
    <col min="13828" max="13828" width="100.7109375" style="53" customWidth="1"/>
    <col min="13829" max="14080" width="9.140625" style="53"/>
    <col min="14081" max="14081" width="14.85546875" style="53" bestFit="1" customWidth="1"/>
    <col min="14082" max="14082" width="13.140625" style="53" customWidth="1"/>
    <col min="14083" max="14083" width="31.7109375" style="53" customWidth="1"/>
    <col min="14084" max="14084" width="100.7109375" style="53" customWidth="1"/>
    <col min="14085" max="14336" width="9.140625" style="53"/>
    <col min="14337" max="14337" width="14.85546875" style="53" bestFit="1" customWidth="1"/>
    <col min="14338" max="14338" width="13.140625" style="53" customWidth="1"/>
    <col min="14339" max="14339" width="31.7109375" style="53" customWidth="1"/>
    <col min="14340" max="14340" width="100.7109375" style="53" customWidth="1"/>
    <col min="14341" max="14592" width="9.140625" style="53"/>
    <col min="14593" max="14593" width="14.85546875" style="53" bestFit="1" customWidth="1"/>
    <col min="14594" max="14594" width="13.140625" style="53" customWidth="1"/>
    <col min="14595" max="14595" width="31.7109375" style="53" customWidth="1"/>
    <col min="14596" max="14596" width="100.7109375" style="53" customWidth="1"/>
    <col min="14597" max="14848" width="9.140625" style="53"/>
    <col min="14849" max="14849" width="14.85546875" style="53" bestFit="1" customWidth="1"/>
    <col min="14850" max="14850" width="13.140625" style="53" customWidth="1"/>
    <col min="14851" max="14851" width="31.7109375" style="53" customWidth="1"/>
    <col min="14852" max="14852" width="100.7109375" style="53" customWidth="1"/>
    <col min="14853" max="15104" width="9.140625" style="53"/>
    <col min="15105" max="15105" width="14.85546875" style="53" bestFit="1" customWidth="1"/>
    <col min="15106" max="15106" width="13.140625" style="53" customWidth="1"/>
    <col min="15107" max="15107" width="31.7109375" style="53" customWidth="1"/>
    <col min="15108" max="15108" width="100.7109375" style="53" customWidth="1"/>
    <col min="15109" max="15360" width="9.140625" style="53"/>
    <col min="15361" max="15361" width="14.85546875" style="53" bestFit="1" customWidth="1"/>
    <col min="15362" max="15362" width="13.140625" style="53" customWidth="1"/>
    <col min="15363" max="15363" width="31.7109375" style="53" customWidth="1"/>
    <col min="15364" max="15364" width="100.7109375" style="53" customWidth="1"/>
    <col min="15365" max="15616" width="9.140625" style="53"/>
    <col min="15617" max="15617" width="14.85546875" style="53" bestFit="1" customWidth="1"/>
    <col min="15618" max="15618" width="13.140625" style="53" customWidth="1"/>
    <col min="15619" max="15619" width="31.7109375" style="53" customWidth="1"/>
    <col min="15620" max="15620" width="100.7109375" style="53" customWidth="1"/>
    <col min="15621" max="15872" width="9.140625" style="53"/>
    <col min="15873" max="15873" width="14.85546875" style="53" bestFit="1" customWidth="1"/>
    <col min="15874" max="15874" width="13.140625" style="53" customWidth="1"/>
    <col min="15875" max="15875" width="31.7109375" style="53" customWidth="1"/>
    <col min="15876" max="15876" width="100.7109375" style="53" customWidth="1"/>
    <col min="15877" max="16128" width="9.140625" style="53"/>
    <col min="16129" max="16129" width="14.85546875" style="53" bestFit="1" customWidth="1"/>
    <col min="16130" max="16130" width="13.140625" style="53" customWidth="1"/>
    <col min="16131" max="16131" width="31.7109375" style="53" customWidth="1"/>
    <col min="16132" max="16132" width="100.7109375" style="53" customWidth="1"/>
    <col min="16133" max="16384" width="9.140625" style="53"/>
  </cols>
  <sheetData>
    <row r="1" spans="1:77" s="293" customFormat="1" ht="18.75" x14ac:dyDescent="0.3">
      <c r="A1" s="292" t="s">
        <v>259</v>
      </c>
      <c r="C1" s="294"/>
      <c r="D1" s="147" t="s">
        <v>260</v>
      </c>
      <c r="E1" s="414">
        <v>44292</v>
      </c>
      <c r="F1" s="139"/>
      <c r="G1" s="139"/>
      <c r="H1" s="295"/>
    </row>
    <row r="2" spans="1:77" s="60" customFormat="1" ht="15" x14ac:dyDescent="0.25">
      <c r="D2" s="297"/>
      <c r="E2" s="415" t="s">
        <v>44</v>
      </c>
      <c r="F2" s="297"/>
      <c r="G2" s="297"/>
      <c r="H2" s="297"/>
    </row>
    <row r="3" spans="1:77" s="60" customFormat="1" x14ac:dyDescent="0.2">
      <c r="A3" s="298"/>
      <c r="B3" s="298"/>
      <c r="C3" s="297"/>
      <c r="D3" s="297"/>
      <c r="E3" s="297"/>
      <c r="F3" s="297"/>
      <c r="G3" s="297"/>
      <c r="H3" s="297"/>
    </row>
    <row r="4" spans="1:77" s="60" customFormat="1" ht="13.5" thickBot="1" x14ac:dyDescent="0.25">
      <c r="A4" s="298"/>
      <c r="B4" s="298"/>
      <c r="C4" s="297"/>
      <c r="D4" s="297"/>
      <c r="E4" s="297"/>
      <c r="F4" s="297"/>
      <c r="G4" s="297"/>
      <c r="H4" s="297"/>
    </row>
    <row r="5" spans="1:77" s="60" customFormat="1" ht="21.75" thickBot="1" x14ac:dyDescent="0.25">
      <c r="A5" s="299"/>
      <c r="B5" s="299"/>
      <c r="C5" s="789" t="s">
        <v>261</v>
      </c>
      <c r="D5" s="790"/>
      <c r="E5" s="297"/>
      <c r="F5" s="297"/>
      <c r="G5" s="297"/>
      <c r="H5" s="297"/>
    </row>
    <row r="6" spans="1:77" s="60" customFormat="1" ht="16.5" thickBot="1" x14ac:dyDescent="0.3">
      <c r="A6" s="300" t="s">
        <v>262</v>
      </c>
      <c r="B6" s="301" t="s">
        <v>263</v>
      </c>
      <c r="C6" s="301" t="s">
        <v>264</v>
      </c>
      <c r="D6" s="300" t="s">
        <v>265</v>
      </c>
      <c r="E6" s="297"/>
      <c r="F6" s="297"/>
      <c r="G6" s="297"/>
      <c r="H6" s="297"/>
    </row>
    <row r="7" spans="1:77" s="304" customFormat="1" ht="15" x14ac:dyDescent="0.25">
      <c r="A7" s="784" t="s">
        <v>266</v>
      </c>
      <c r="B7" s="784" t="s">
        <v>230</v>
      </c>
      <c r="C7" s="784" t="s">
        <v>267</v>
      </c>
      <c r="D7" s="302" t="s">
        <v>268</v>
      </c>
      <c r="E7" s="303"/>
      <c r="F7" s="303"/>
      <c r="G7" s="303"/>
      <c r="H7" s="303"/>
      <c r="I7" s="303"/>
      <c r="J7" s="303"/>
    </row>
    <row r="8" spans="1:77" s="304" customFormat="1" ht="15" x14ac:dyDescent="0.25">
      <c r="A8" s="785"/>
      <c r="B8" s="785"/>
      <c r="C8" s="785"/>
      <c r="D8" s="305" t="s">
        <v>269</v>
      </c>
      <c r="E8" s="303"/>
      <c r="F8" s="303"/>
      <c r="G8" s="303"/>
      <c r="H8" s="303"/>
      <c r="I8" s="303"/>
      <c r="J8" s="303"/>
    </row>
    <row r="9" spans="1:77" s="304" customFormat="1" ht="15" x14ac:dyDescent="0.25">
      <c r="A9" s="785"/>
      <c r="B9" s="785"/>
      <c r="C9" s="785"/>
      <c r="D9" s="305" t="s">
        <v>270</v>
      </c>
      <c r="E9" s="303"/>
      <c r="F9" s="303"/>
      <c r="G9" s="303"/>
      <c r="H9" s="303"/>
      <c r="I9" s="303"/>
      <c r="J9" s="303"/>
    </row>
    <row r="10" spans="1:77" s="304" customFormat="1" ht="15" x14ac:dyDescent="0.25">
      <c r="A10" s="785"/>
      <c r="B10" s="785"/>
      <c r="C10" s="785"/>
      <c r="D10" s="305" t="s">
        <v>271</v>
      </c>
      <c r="E10" s="303"/>
      <c r="F10" s="303"/>
      <c r="G10" s="303"/>
      <c r="H10" s="303"/>
      <c r="I10" s="303"/>
      <c r="J10" s="303"/>
    </row>
    <row r="11" spans="1:77" s="304" customFormat="1" ht="15.75" thickBot="1" x14ac:dyDescent="0.3">
      <c r="A11" s="785"/>
      <c r="B11" s="785"/>
      <c r="C11" s="785"/>
      <c r="D11" s="305" t="s">
        <v>272</v>
      </c>
      <c r="E11" s="303"/>
      <c r="F11" s="303"/>
      <c r="G11" s="303"/>
      <c r="H11" s="303"/>
      <c r="I11" s="303"/>
      <c r="J11" s="303"/>
    </row>
    <row r="12" spans="1:77" s="304" customFormat="1" ht="15" x14ac:dyDescent="0.25">
      <c r="A12" s="785"/>
      <c r="B12" s="785"/>
      <c r="C12" s="784" t="s">
        <v>273</v>
      </c>
      <c r="D12" s="302" t="s">
        <v>274</v>
      </c>
      <c r="E12" s="303"/>
      <c r="F12" s="303"/>
      <c r="G12" s="303"/>
      <c r="H12" s="303"/>
      <c r="I12" s="303"/>
      <c r="J12" s="303"/>
    </row>
    <row r="13" spans="1:77" s="304" customFormat="1" ht="15" x14ac:dyDescent="0.25">
      <c r="A13" s="785"/>
      <c r="B13" s="785"/>
      <c r="C13" s="785"/>
      <c r="D13" s="306" t="s">
        <v>275</v>
      </c>
      <c r="E13" s="303"/>
      <c r="F13" s="303"/>
      <c r="G13" s="303"/>
      <c r="H13" s="303"/>
      <c r="I13" s="303"/>
      <c r="J13" s="303"/>
    </row>
    <row r="14" spans="1:77" s="304" customFormat="1" ht="15.75" thickBot="1" x14ac:dyDescent="0.3">
      <c r="A14" s="785"/>
      <c r="B14" s="785"/>
      <c r="C14" s="786"/>
      <c r="D14" s="307" t="s">
        <v>276</v>
      </c>
      <c r="E14" s="303"/>
      <c r="G14" s="303"/>
      <c r="H14" s="303"/>
      <c r="I14" s="303"/>
      <c r="J14" s="303"/>
    </row>
    <row r="15" spans="1:77" s="303" customFormat="1" ht="15" x14ac:dyDescent="0.25">
      <c r="A15" s="785"/>
      <c r="B15" s="785"/>
      <c r="C15" s="784" t="s">
        <v>277</v>
      </c>
      <c r="D15" s="305" t="s">
        <v>278</v>
      </c>
      <c r="F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row>
    <row r="16" spans="1:77" s="303" customFormat="1" ht="15.75" thickBot="1" x14ac:dyDescent="0.3">
      <c r="A16" s="785"/>
      <c r="B16" s="785"/>
      <c r="C16" s="786"/>
      <c r="D16" s="307" t="s">
        <v>279</v>
      </c>
      <c r="F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row>
    <row r="17" spans="1:77" s="303" customFormat="1" ht="15" x14ac:dyDescent="0.25">
      <c r="A17" s="785"/>
      <c r="B17" s="785"/>
      <c r="C17" s="784" t="s">
        <v>280</v>
      </c>
      <c r="D17" s="305" t="s">
        <v>281</v>
      </c>
      <c r="F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row>
    <row r="18" spans="1:77" s="303" customFormat="1" ht="15" x14ac:dyDescent="0.25">
      <c r="A18" s="785"/>
      <c r="B18" s="785"/>
      <c r="C18" s="785"/>
      <c r="D18" s="305" t="s">
        <v>282</v>
      </c>
      <c r="F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row>
    <row r="19" spans="1:77" s="303" customFormat="1" ht="15" x14ac:dyDescent="0.25">
      <c r="A19" s="785"/>
      <c r="B19" s="785"/>
      <c r="C19" s="785"/>
      <c r="D19" s="305" t="s">
        <v>283</v>
      </c>
      <c r="F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row>
    <row r="20" spans="1:77" s="303" customFormat="1" ht="15" x14ac:dyDescent="0.25">
      <c r="A20" s="785"/>
      <c r="B20" s="785"/>
      <c r="C20" s="785"/>
      <c r="D20" s="305" t="s">
        <v>284</v>
      </c>
      <c r="F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row>
    <row r="21" spans="1:77" s="303" customFormat="1" ht="15" x14ac:dyDescent="0.25">
      <c r="A21" s="785"/>
      <c r="B21" s="785"/>
      <c r="C21" s="785"/>
      <c r="D21" s="305" t="s">
        <v>285</v>
      </c>
      <c r="F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row>
    <row r="22" spans="1:77" s="303" customFormat="1" ht="15" x14ac:dyDescent="0.25">
      <c r="A22" s="785"/>
      <c r="B22" s="785"/>
      <c r="C22" s="785"/>
      <c r="D22" s="305" t="s">
        <v>286</v>
      </c>
      <c r="F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row>
    <row r="23" spans="1:77" s="303" customFormat="1" ht="15" x14ac:dyDescent="0.25">
      <c r="A23" s="785"/>
      <c r="B23" s="785"/>
      <c r="C23" s="785"/>
      <c r="D23" s="711" t="s">
        <v>287</v>
      </c>
      <c r="F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row>
    <row r="24" spans="1:77" s="303" customFormat="1" ht="15" x14ac:dyDescent="0.25">
      <c r="A24" s="785"/>
      <c r="B24" s="785"/>
      <c r="C24" s="785"/>
      <c r="D24" s="711" t="s">
        <v>288</v>
      </c>
      <c r="F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row>
    <row r="25" spans="1:77" s="303" customFormat="1" ht="15.75" thickBot="1" x14ac:dyDescent="0.3">
      <c r="A25" s="785"/>
      <c r="B25" s="785"/>
      <c r="C25" s="786"/>
      <c r="D25" s="307" t="s">
        <v>289</v>
      </c>
      <c r="F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row>
    <row r="26" spans="1:77" s="303" customFormat="1" ht="15" x14ac:dyDescent="0.25">
      <c r="A26" s="785"/>
      <c r="B26" s="785"/>
      <c r="C26" s="784" t="s">
        <v>290</v>
      </c>
      <c r="D26" s="302" t="s">
        <v>291</v>
      </c>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row>
    <row r="27" spans="1:77" s="303" customFormat="1" ht="15" x14ac:dyDescent="0.25">
      <c r="A27" s="785"/>
      <c r="B27" s="785"/>
      <c r="C27" s="785"/>
      <c r="D27" s="308" t="s">
        <v>292</v>
      </c>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row>
    <row r="28" spans="1:77" s="303" customFormat="1" ht="15" x14ac:dyDescent="0.25">
      <c r="A28" s="785"/>
      <c r="B28" s="785"/>
      <c r="C28" s="785"/>
      <c r="D28" s="305" t="s">
        <v>293</v>
      </c>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row>
    <row r="29" spans="1:77" s="303" customFormat="1" ht="15" x14ac:dyDescent="0.25">
      <c r="A29" s="785"/>
      <c r="B29" s="785"/>
      <c r="C29" s="785"/>
      <c r="D29" s="305" t="s">
        <v>294</v>
      </c>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row>
    <row r="30" spans="1:77" s="303" customFormat="1" ht="15" x14ac:dyDescent="0.25">
      <c r="A30" s="785"/>
      <c r="B30" s="785"/>
      <c r="C30" s="785"/>
      <c r="D30" s="305" t="s">
        <v>295</v>
      </c>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row>
    <row r="31" spans="1:77" s="303" customFormat="1" ht="15" x14ac:dyDescent="0.25">
      <c r="A31" s="785"/>
      <c r="B31" s="785"/>
      <c r="C31" s="785"/>
      <c r="D31" s="305" t="s">
        <v>296</v>
      </c>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row>
    <row r="32" spans="1:77" s="303" customFormat="1" ht="15" x14ac:dyDescent="0.25">
      <c r="A32" s="785"/>
      <c r="B32" s="785"/>
      <c r="C32" s="785"/>
      <c r="D32" s="305" t="s">
        <v>297</v>
      </c>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row>
    <row r="33" spans="1:77" s="303" customFormat="1" ht="15" x14ac:dyDescent="0.25">
      <c r="A33" s="785"/>
      <c r="B33" s="785"/>
      <c r="C33" s="785"/>
      <c r="D33" s="711" t="s">
        <v>298</v>
      </c>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row>
    <row r="34" spans="1:77" s="303" customFormat="1" ht="15.75" thickBot="1" x14ac:dyDescent="0.3">
      <c r="A34" s="785"/>
      <c r="B34" s="785"/>
      <c r="C34" s="786"/>
      <c r="D34" s="307" t="s">
        <v>299</v>
      </c>
      <c r="F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row>
    <row r="35" spans="1:77" s="303" customFormat="1" ht="15" x14ac:dyDescent="0.25">
      <c r="A35" s="785"/>
      <c r="B35" s="785"/>
      <c r="C35" s="784" t="s">
        <v>300</v>
      </c>
      <c r="D35" s="302" t="s">
        <v>301</v>
      </c>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304"/>
      <c r="BY35" s="304"/>
    </row>
    <row r="36" spans="1:77" s="303" customFormat="1" ht="15" x14ac:dyDescent="0.25">
      <c r="A36" s="785"/>
      <c r="B36" s="785"/>
      <c r="C36" s="785"/>
      <c r="D36" s="305" t="s">
        <v>302</v>
      </c>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row>
    <row r="37" spans="1:77" s="303" customFormat="1" ht="15.75" thickBot="1" x14ac:dyDescent="0.3">
      <c r="A37" s="785"/>
      <c r="B37" s="785"/>
      <c r="C37" s="786"/>
      <c r="D37" s="307" t="s">
        <v>303</v>
      </c>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row>
    <row r="38" spans="1:77" s="303" customFormat="1" ht="15" x14ac:dyDescent="0.25">
      <c r="A38" s="785"/>
      <c r="B38" s="785"/>
      <c r="C38" s="784" t="s">
        <v>304</v>
      </c>
      <c r="D38" s="302" t="s">
        <v>305</v>
      </c>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row>
    <row r="39" spans="1:77" s="303" customFormat="1" ht="15" x14ac:dyDescent="0.25">
      <c r="A39" s="785"/>
      <c r="B39" s="785"/>
      <c r="C39" s="785"/>
      <c r="D39" s="308" t="s">
        <v>306</v>
      </c>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row>
    <row r="40" spans="1:77" s="303" customFormat="1" ht="15" x14ac:dyDescent="0.25">
      <c r="A40" s="785"/>
      <c r="B40" s="785"/>
      <c r="C40" s="785"/>
      <c r="D40" s="308" t="s">
        <v>307</v>
      </c>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row>
    <row r="41" spans="1:77" s="303" customFormat="1" ht="15" x14ac:dyDescent="0.25">
      <c r="A41" s="785"/>
      <c r="B41" s="785"/>
      <c r="C41" s="785"/>
      <c r="D41" s="308" t="s">
        <v>308</v>
      </c>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row>
    <row r="42" spans="1:77" s="303" customFormat="1" ht="15" x14ac:dyDescent="0.25">
      <c r="A42" s="785"/>
      <c r="B42" s="785"/>
      <c r="C42" s="785"/>
      <c r="D42" s="305" t="s">
        <v>309</v>
      </c>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row>
    <row r="43" spans="1:77" s="303" customFormat="1" ht="15" x14ac:dyDescent="0.25">
      <c r="A43" s="785"/>
      <c r="B43" s="785"/>
      <c r="C43" s="785"/>
      <c r="D43" s="305" t="s">
        <v>310</v>
      </c>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row>
    <row r="44" spans="1:77" s="303" customFormat="1" ht="15" x14ac:dyDescent="0.25">
      <c r="A44" s="785"/>
      <c r="B44" s="785"/>
      <c r="C44" s="785"/>
      <c r="D44" s="305" t="s">
        <v>311</v>
      </c>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row>
    <row r="45" spans="1:77" s="303" customFormat="1" ht="15" x14ac:dyDescent="0.25">
      <c r="A45" s="785"/>
      <c r="B45" s="785"/>
      <c r="C45" s="785"/>
      <c r="D45" s="711" t="s">
        <v>312</v>
      </c>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4"/>
      <c r="BW45" s="304"/>
      <c r="BX45" s="304"/>
      <c r="BY45" s="304"/>
    </row>
    <row r="46" spans="1:77" s="303" customFormat="1" ht="15" x14ac:dyDescent="0.25">
      <c r="A46" s="785"/>
      <c r="B46" s="785"/>
      <c r="C46" s="785"/>
      <c r="D46" s="305" t="s">
        <v>313</v>
      </c>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row>
    <row r="47" spans="1:77" s="303" customFormat="1" ht="15" x14ac:dyDescent="0.25">
      <c r="A47" s="785"/>
      <c r="B47" s="785"/>
      <c r="C47" s="785"/>
      <c r="D47" s="305" t="s">
        <v>314</v>
      </c>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4"/>
      <c r="BR47" s="304"/>
      <c r="BS47" s="304"/>
      <c r="BT47" s="304"/>
      <c r="BU47" s="304"/>
      <c r="BV47" s="304"/>
      <c r="BW47" s="304"/>
      <c r="BX47" s="304"/>
      <c r="BY47" s="304"/>
    </row>
    <row r="48" spans="1:77" s="303" customFormat="1" ht="15.75" thickBot="1" x14ac:dyDescent="0.3">
      <c r="A48" s="785"/>
      <c r="B48" s="785"/>
      <c r="C48" s="786"/>
      <c r="D48" s="309" t="s">
        <v>315</v>
      </c>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row>
    <row r="49" spans="1:77" s="303" customFormat="1" ht="15" x14ac:dyDescent="0.25">
      <c r="A49" s="785"/>
      <c r="B49" s="785"/>
      <c r="C49" s="784" t="s">
        <v>316</v>
      </c>
      <c r="D49" s="302" t="s">
        <v>317</v>
      </c>
      <c r="G49" s="310"/>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row>
    <row r="50" spans="1:77" s="303" customFormat="1" ht="15" x14ac:dyDescent="0.25">
      <c r="A50" s="785"/>
      <c r="B50" s="785"/>
      <c r="C50" s="785"/>
      <c r="D50" s="305" t="s">
        <v>318</v>
      </c>
      <c r="G50" s="310"/>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row>
    <row r="51" spans="1:77" s="303" customFormat="1" ht="15" x14ac:dyDescent="0.25">
      <c r="A51" s="785"/>
      <c r="B51" s="785"/>
      <c r="C51" s="785"/>
      <c r="D51" s="305" t="s">
        <v>319</v>
      </c>
      <c r="G51" s="310"/>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row>
    <row r="52" spans="1:77" s="303" customFormat="1" ht="15" x14ac:dyDescent="0.25">
      <c r="A52" s="785"/>
      <c r="B52" s="785"/>
      <c r="C52" s="785"/>
      <c r="D52" s="305" t="s">
        <v>320</v>
      </c>
      <c r="G52" s="310"/>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row>
    <row r="53" spans="1:77" s="303" customFormat="1" ht="15" x14ac:dyDescent="0.25">
      <c r="A53" s="785"/>
      <c r="B53" s="785"/>
      <c r="C53" s="785"/>
      <c r="D53" s="305" t="s">
        <v>321</v>
      </c>
      <c r="G53" s="310"/>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row>
    <row r="54" spans="1:77" s="303" customFormat="1" ht="15" x14ac:dyDescent="0.25">
      <c r="A54" s="785"/>
      <c r="B54" s="785"/>
      <c r="C54" s="785"/>
      <c r="D54" s="305" t="s">
        <v>322</v>
      </c>
      <c r="G54" s="310"/>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row>
    <row r="55" spans="1:77" s="303" customFormat="1" ht="15.75" thickBot="1" x14ac:dyDescent="0.3">
      <c r="A55" s="785"/>
      <c r="B55" s="785"/>
      <c r="C55" s="786"/>
      <c r="D55" s="307" t="s">
        <v>323</v>
      </c>
      <c r="G55" s="310"/>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4"/>
      <c r="BT55" s="304"/>
      <c r="BU55" s="304"/>
      <c r="BV55" s="304"/>
      <c r="BW55" s="304"/>
      <c r="BX55" s="304"/>
      <c r="BY55" s="304"/>
    </row>
    <row r="56" spans="1:77" s="304" customFormat="1" ht="15" x14ac:dyDescent="0.25">
      <c r="A56" s="785"/>
      <c r="B56" s="785"/>
      <c r="C56" s="784" t="s">
        <v>324</v>
      </c>
      <c r="D56" s="305" t="s">
        <v>325</v>
      </c>
      <c r="E56" s="303"/>
      <c r="F56" s="303"/>
      <c r="G56" s="303"/>
      <c r="H56" s="303"/>
      <c r="I56" s="303"/>
      <c r="J56" s="303"/>
    </row>
    <row r="57" spans="1:77" s="304" customFormat="1" ht="15" x14ac:dyDescent="0.25">
      <c r="A57" s="785"/>
      <c r="B57" s="785"/>
      <c r="C57" s="785"/>
      <c r="D57" s="305" t="s">
        <v>326</v>
      </c>
      <c r="E57" s="303"/>
      <c r="F57" s="303"/>
      <c r="G57" s="303"/>
      <c r="H57" s="303"/>
      <c r="I57" s="303"/>
      <c r="J57" s="303"/>
    </row>
    <row r="58" spans="1:77" s="304" customFormat="1" ht="15" x14ac:dyDescent="0.25">
      <c r="A58" s="785"/>
      <c r="B58" s="785"/>
      <c r="C58" s="785"/>
      <c r="D58" s="305" t="s">
        <v>327</v>
      </c>
      <c r="E58" s="303"/>
      <c r="F58" s="303"/>
      <c r="G58" s="303"/>
      <c r="H58" s="303"/>
      <c r="I58" s="303"/>
      <c r="J58" s="303"/>
    </row>
    <row r="59" spans="1:77" s="304" customFormat="1" ht="15" x14ac:dyDescent="0.25">
      <c r="A59" s="785"/>
      <c r="B59" s="785"/>
      <c r="C59" s="785"/>
      <c r="D59" s="305" t="s">
        <v>328</v>
      </c>
      <c r="E59" s="303"/>
      <c r="F59" s="303"/>
      <c r="G59" s="303"/>
      <c r="H59" s="303"/>
      <c r="I59" s="303"/>
      <c r="J59" s="303"/>
    </row>
    <row r="60" spans="1:77" s="304" customFormat="1" ht="15" x14ac:dyDescent="0.25">
      <c r="A60" s="785"/>
      <c r="B60" s="785"/>
      <c r="C60" s="785"/>
      <c r="D60" s="305" t="s">
        <v>329</v>
      </c>
      <c r="E60" s="303"/>
      <c r="F60" s="303"/>
      <c r="G60" s="303"/>
      <c r="H60" s="303"/>
      <c r="I60" s="303"/>
      <c r="J60" s="303"/>
    </row>
    <row r="61" spans="1:77" s="304" customFormat="1" ht="15" x14ac:dyDescent="0.25">
      <c r="A61" s="785"/>
      <c r="B61" s="785"/>
      <c r="C61" s="785"/>
      <c r="D61" s="305" t="s">
        <v>330</v>
      </c>
      <c r="E61" s="303"/>
      <c r="F61" s="303"/>
      <c r="G61" s="303"/>
      <c r="H61" s="303"/>
      <c r="I61" s="303"/>
      <c r="J61" s="303"/>
    </row>
    <row r="62" spans="1:77" s="304" customFormat="1" ht="15" x14ac:dyDescent="0.25">
      <c r="A62" s="785"/>
      <c r="B62" s="785"/>
      <c r="C62" s="785"/>
      <c r="D62" s="305" t="s">
        <v>331</v>
      </c>
      <c r="E62" s="303"/>
      <c r="F62" s="303"/>
      <c r="G62" s="303"/>
      <c r="H62" s="303"/>
      <c r="I62" s="303"/>
      <c r="J62" s="303"/>
    </row>
    <row r="63" spans="1:77" s="304" customFormat="1" ht="15" x14ac:dyDescent="0.25">
      <c r="A63" s="785"/>
      <c r="B63" s="785"/>
      <c r="C63" s="785"/>
      <c r="D63" s="305" t="s">
        <v>332</v>
      </c>
      <c r="E63" s="303"/>
      <c r="F63" s="303"/>
      <c r="G63" s="303"/>
      <c r="H63" s="303"/>
      <c r="I63" s="303"/>
      <c r="J63" s="303"/>
    </row>
    <row r="64" spans="1:77" s="304" customFormat="1" ht="15" x14ac:dyDescent="0.25">
      <c r="A64" s="785"/>
      <c r="B64" s="785"/>
      <c r="C64" s="785"/>
      <c r="D64" s="305" t="s">
        <v>333</v>
      </c>
      <c r="E64" s="303"/>
      <c r="F64" s="303"/>
      <c r="G64" s="303"/>
      <c r="H64" s="303"/>
      <c r="I64" s="303"/>
      <c r="J64" s="303"/>
    </row>
    <row r="65" spans="1:10" s="304" customFormat="1" ht="15" x14ac:dyDescent="0.25">
      <c r="A65" s="785"/>
      <c r="B65" s="785"/>
      <c r="C65" s="785"/>
      <c r="D65" s="305" t="s">
        <v>334</v>
      </c>
      <c r="E65" s="303"/>
      <c r="F65" s="303"/>
      <c r="G65" s="303"/>
      <c r="H65" s="303"/>
      <c r="I65" s="303"/>
      <c r="J65" s="303"/>
    </row>
    <row r="66" spans="1:10" s="304" customFormat="1" ht="15" x14ac:dyDescent="0.25">
      <c r="A66" s="785"/>
      <c r="B66" s="785"/>
      <c r="C66" s="785"/>
      <c r="D66" s="305" t="s">
        <v>335</v>
      </c>
      <c r="E66" s="303"/>
      <c r="F66" s="303"/>
      <c r="G66" s="303"/>
      <c r="H66" s="303"/>
      <c r="I66" s="303"/>
      <c r="J66" s="303"/>
    </row>
    <row r="67" spans="1:10" s="304" customFormat="1" ht="15" x14ac:dyDescent="0.25">
      <c r="A67" s="785"/>
      <c r="B67" s="785"/>
      <c r="C67" s="785"/>
      <c r="D67" s="305" t="s">
        <v>336</v>
      </c>
      <c r="E67" s="303"/>
      <c r="F67" s="303"/>
      <c r="G67" s="303"/>
      <c r="H67" s="303"/>
      <c r="I67" s="303"/>
      <c r="J67" s="303"/>
    </row>
    <row r="68" spans="1:10" s="304" customFormat="1" ht="15" x14ac:dyDescent="0.25">
      <c r="A68" s="785"/>
      <c r="B68" s="785"/>
      <c r="C68" s="785"/>
      <c r="D68" s="305" t="s">
        <v>337</v>
      </c>
      <c r="E68" s="303"/>
      <c r="F68" s="303"/>
      <c r="G68" s="303"/>
      <c r="H68" s="303"/>
      <c r="I68" s="303"/>
      <c r="J68" s="303"/>
    </row>
    <row r="69" spans="1:10" s="304" customFormat="1" ht="15" x14ac:dyDescent="0.25">
      <c r="A69" s="785"/>
      <c r="B69" s="785"/>
      <c r="C69" s="785"/>
      <c r="D69" s="305" t="s">
        <v>338</v>
      </c>
      <c r="E69" s="303"/>
      <c r="F69" s="303"/>
      <c r="G69" s="303"/>
      <c r="H69" s="303"/>
      <c r="I69" s="303"/>
      <c r="J69" s="303"/>
    </row>
    <row r="70" spans="1:10" s="304" customFormat="1" ht="15" x14ac:dyDescent="0.25">
      <c r="A70" s="785"/>
      <c r="B70" s="785"/>
      <c r="C70" s="785"/>
      <c r="D70" s="305" t="s">
        <v>339</v>
      </c>
      <c r="E70" s="303"/>
      <c r="F70" s="303"/>
      <c r="G70" s="303"/>
      <c r="H70" s="303"/>
      <c r="I70" s="303"/>
      <c r="J70" s="303"/>
    </row>
    <row r="71" spans="1:10" s="304" customFormat="1" ht="15.75" thickBot="1" x14ac:dyDescent="0.3">
      <c r="A71" s="785"/>
      <c r="B71" s="785"/>
      <c r="C71" s="786"/>
      <c r="D71" s="307" t="s">
        <v>340</v>
      </c>
      <c r="E71" s="303"/>
      <c r="F71" s="303"/>
      <c r="G71" s="303"/>
      <c r="H71" s="303"/>
      <c r="I71" s="303"/>
      <c r="J71" s="303"/>
    </row>
    <row r="72" spans="1:10" s="304" customFormat="1" ht="15" x14ac:dyDescent="0.25">
      <c r="A72" s="785"/>
      <c r="B72" s="785"/>
      <c r="C72" s="784" t="s">
        <v>341</v>
      </c>
      <c r="D72" s="357" t="s">
        <v>342</v>
      </c>
      <c r="E72" s="303"/>
      <c r="F72" s="303"/>
      <c r="G72" s="303"/>
      <c r="H72" s="303"/>
      <c r="I72" s="303"/>
      <c r="J72" s="303"/>
    </row>
    <row r="73" spans="1:10" s="304" customFormat="1" ht="15" x14ac:dyDescent="0.25">
      <c r="A73" s="785"/>
      <c r="B73" s="785"/>
      <c r="C73" s="785"/>
      <c r="D73" s="305" t="s">
        <v>343</v>
      </c>
      <c r="E73" s="303"/>
      <c r="F73" s="303"/>
      <c r="G73" s="303"/>
      <c r="H73" s="303"/>
      <c r="I73" s="303"/>
      <c r="J73" s="303"/>
    </row>
    <row r="74" spans="1:10" s="304" customFormat="1" ht="15" x14ac:dyDescent="0.25">
      <c r="A74" s="785"/>
      <c r="B74" s="785"/>
      <c r="C74" s="785"/>
      <c r="D74" s="305" t="s">
        <v>344</v>
      </c>
      <c r="E74" s="303"/>
      <c r="F74" s="303"/>
      <c r="G74" s="303"/>
      <c r="H74" s="303"/>
      <c r="I74" s="303"/>
      <c r="J74" s="303"/>
    </row>
    <row r="75" spans="1:10" s="304" customFormat="1" ht="15" x14ac:dyDescent="0.25">
      <c r="A75" s="785"/>
      <c r="B75" s="785"/>
      <c r="C75" s="785"/>
      <c r="D75" s="305" t="s">
        <v>345</v>
      </c>
      <c r="E75" s="303"/>
      <c r="F75" s="303"/>
      <c r="G75" s="303"/>
      <c r="H75" s="303"/>
      <c r="I75" s="303"/>
      <c r="J75" s="303"/>
    </row>
    <row r="76" spans="1:10" s="304" customFormat="1" ht="15" x14ac:dyDescent="0.25">
      <c r="A76" s="785"/>
      <c r="B76" s="785"/>
      <c r="C76" s="785"/>
      <c r="D76" s="305" t="s">
        <v>346</v>
      </c>
      <c r="E76" s="303"/>
      <c r="F76" s="303"/>
      <c r="G76" s="303"/>
      <c r="H76" s="303"/>
      <c r="I76" s="303"/>
      <c r="J76" s="303"/>
    </row>
    <row r="77" spans="1:10" s="304" customFormat="1" ht="15" x14ac:dyDescent="0.25">
      <c r="A77" s="785"/>
      <c r="B77" s="785"/>
      <c r="C77" s="785"/>
      <c r="D77" s="305" t="s">
        <v>309</v>
      </c>
      <c r="E77" s="303"/>
      <c r="F77" s="303"/>
      <c r="G77" s="303"/>
      <c r="H77" s="303"/>
      <c r="I77" s="303"/>
      <c r="J77" s="303"/>
    </row>
    <row r="78" spans="1:10" s="304" customFormat="1" ht="15" x14ac:dyDescent="0.25">
      <c r="A78" s="785"/>
      <c r="B78" s="785"/>
      <c r="C78" s="785"/>
      <c r="D78" s="305" t="s">
        <v>347</v>
      </c>
      <c r="E78" s="303"/>
      <c r="F78" s="303"/>
      <c r="G78" s="303"/>
      <c r="H78" s="303"/>
      <c r="I78" s="303"/>
      <c r="J78" s="303"/>
    </row>
    <row r="79" spans="1:10" s="304" customFormat="1" ht="15" x14ac:dyDescent="0.25">
      <c r="A79" s="785"/>
      <c r="B79" s="785"/>
      <c r="C79" s="785"/>
      <c r="D79" s="305" t="s">
        <v>332</v>
      </c>
      <c r="E79" s="303"/>
      <c r="F79" s="303"/>
      <c r="G79" s="303"/>
      <c r="H79" s="303"/>
      <c r="I79" s="303"/>
      <c r="J79" s="303"/>
    </row>
    <row r="80" spans="1:10" s="304" customFormat="1" ht="15" x14ac:dyDescent="0.25">
      <c r="A80" s="785"/>
      <c r="B80" s="785"/>
      <c r="C80" s="785"/>
      <c r="D80" s="305" t="s">
        <v>348</v>
      </c>
      <c r="E80" s="303"/>
      <c r="F80" s="303"/>
      <c r="G80" s="303"/>
      <c r="H80" s="303"/>
      <c r="I80" s="303"/>
      <c r="J80" s="303"/>
    </row>
    <row r="81" spans="1:10" s="304" customFormat="1" ht="15" x14ac:dyDescent="0.25">
      <c r="A81" s="785"/>
      <c r="B81" s="785"/>
      <c r="C81" s="785"/>
      <c r="D81" s="305" t="s">
        <v>349</v>
      </c>
      <c r="E81" s="303"/>
      <c r="F81" s="303"/>
      <c r="G81" s="303"/>
      <c r="H81" s="303"/>
      <c r="I81" s="303"/>
      <c r="J81" s="303"/>
    </row>
    <row r="82" spans="1:10" s="304" customFormat="1" ht="15" x14ac:dyDescent="0.25">
      <c r="A82" s="785"/>
      <c r="B82" s="785"/>
      <c r="C82" s="785"/>
      <c r="D82" s="305" t="s">
        <v>350</v>
      </c>
      <c r="E82" s="303"/>
      <c r="F82" s="303"/>
      <c r="G82" s="303"/>
      <c r="H82" s="303"/>
      <c r="I82" s="303"/>
      <c r="J82" s="303"/>
    </row>
    <row r="83" spans="1:10" s="304" customFormat="1" ht="15" x14ac:dyDescent="0.25">
      <c r="A83" s="785"/>
      <c r="B83" s="785"/>
      <c r="C83" s="785"/>
      <c r="D83" s="305" t="s">
        <v>351</v>
      </c>
      <c r="E83" s="303"/>
      <c r="F83" s="303"/>
      <c r="G83" s="303"/>
      <c r="H83" s="303"/>
      <c r="I83" s="303"/>
      <c r="J83" s="303"/>
    </row>
    <row r="84" spans="1:10" s="304" customFormat="1" ht="15" x14ac:dyDescent="0.25">
      <c r="A84" s="785"/>
      <c r="B84" s="785"/>
      <c r="C84" s="785"/>
      <c r="D84" s="305" t="s">
        <v>352</v>
      </c>
      <c r="E84" s="303"/>
      <c r="F84" s="303"/>
      <c r="G84" s="303"/>
      <c r="H84" s="303"/>
      <c r="I84" s="303"/>
      <c r="J84" s="303"/>
    </row>
    <row r="85" spans="1:10" s="304" customFormat="1" ht="15" x14ac:dyDescent="0.25">
      <c r="A85" s="785"/>
      <c r="B85" s="785"/>
      <c r="C85" s="785"/>
      <c r="D85" s="305" t="s">
        <v>353</v>
      </c>
      <c r="E85" s="303"/>
      <c r="F85" s="303"/>
      <c r="G85" s="303"/>
      <c r="H85" s="303"/>
      <c r="I85" s="303"/>
      <c r="J85" s="303"/>
    </row>
    <row r="86" spans="1:10" s="304" customFormat="1" ht="15" x14ac:dyDescent="0.25">
      <c r="A86" s="785"/>
      <c r="B86" s="785"/>
      <c r="C86" s="785"/>
      <c r="D86" s="305" t="s">
        <v>354</v>
      </c>
      <c r="E86" s="303"/>
      <c r="F86" s="303"/>
      <c r="G86" s="303"/>
      <c r="H86" s="303"/>
      <c r="I86" s="303"/>
      <c r="J86" s="303"/>
    </row>
    <row r="87" spans="1:10" s="304" customFormat="1" ht="15" x14ac:dyDescent="0.25">
      <c r="A87" s="785"/>
      <c r="B87" s="785"/>
      <c r="C87" s="785"/>
      <c r="D87" s="305" t="s">
        <v>355</v>
      </c>
      <c r="E87" s="303"/>
      <c r="F87" s="303"/>
      <c r="G87" s="303"/>
      <c r="H87" s="303"/>
      <c r="I87" s="303"/>
      <c r="J87" s="303"/>
    </row>
    <row r="88" spans="1:10" s="304" customFormat="1" ht="15" x14ac:dyDescent="0.25">
      <c r="A88" s="785"/>
      <c r="B88" s="785"/>
      <c r="C88" s="785"/>
      <c r="D88" s="305" t="s">
        <v>356</v>
      </c>
      <c r="E88" s="303"/>
      <c r="F88" s="303"/>
      <c r="G88" s="303"/>
      <c r="H88" s="303"/>
      <c r="I88" s="303"/>
      <c r="J88" s="303"/>
    </row>
    <row r="89" spans="1:10" s="304" customFormat="1" ht="15.75" thickBot="1" x14ac:dyDescent="0.3">
      <c r="A89" s="785"/>
      <c r="B89" s="785"/>
      <c r="C89" s="786"/>
      <c r="D89" s="357" t="s">
        <v>357</v>
      </c>
      <c r="E89" s="303"/>
      <c r="F89" s="303"/>
      <c r="G89" s="303"/>
      <c r="H89" s="303"/>
      <c r="I89" s="303"/>
      <c r="J89" s="303"/>
    </row>
    <row r="90" spans="1:10" s="60" customFormat="1" ht="15.75" thickBot="1" x14ac:dyDescent="0.25">
      <c r="A90" s="785"/>
      <c r="B90" s="785"/>
      <c r="C90" s="352" t="s">
        <v>195</v>
      </c>
      <c r="D90" s="353" t="s">
        <v>358</v>
      </c>
      <c r="F90" s="297"/>
      <c r="G90" s="297"/>
      <c r="H90" s="297"/>
    </row>
    <row r="91" spans="1:10" s="304" customFormat="1" ht="16.5" thickBot="1" x14ac:dyDescent="0.3">
      <c r="A91" s="785"/>
      <c r="B91" s="785"/>
      <c r="C91" s="787" t="s">
        <v>359</v>
      </c>
      <c r="D91" s="788"/>
      <c r="E91" s="303"/>
      <c r="F91" s="303"/>
      <c r="G91" s="303"/>
      <c r="H91" s="303"/>
      <c r="I91" s="303"/>
      <c r="J91" s="303"/>
    </row>
    <row r="92" spans="1:10" s="304" customFormat="1" ht="16.5" thickBot="1" x14ac:dyDescent="0.3">
      <c r="A92" s="785"/>
      <c r="B92" s="785"/>
      <c r="C92" s="311" t="s">
        <v>360</v>
      </c>
      <c r="D92" s="312" t="s">
        <v>361</v>
      </c>
      <c r="E92" s="303"/>
      <c r="F92" s="303"/>
      <c r="G92" s="303"/>
      <c r="H92" s="303"/>
      <c r="I92" s="303"/>
      <c r="J92" s="303"/>
    </row>
    <row r="93" spans="1:10" s="304" customFormat="1" ht="15" x14ac:dyDescent="0.25">
      <c r="A93" s="785"/>
      <c r="B93" s="785"/>
      <c r="C93" s="313" t="s">
        <v>153</v>
      </c>
      <c r="D93" s="314"/>
      <c r="E93" s="303"/>
      <c r="F93" s="315"/>
      <c r="G93" s="303"/>
      <c r="H93" s="303"/>
      <c r="I93" s="303"/>
      <c r="J93" s="303"/>
    </row>
    <row r="94" spans="1:10" s="304" customFormat="1" ht="15.75" thickBot="1" x14ac:dyDescent="0.3">
      <c r="A94" s="786"/>
      <c r="B94" s="786"/>
      <c r="C94" s="316" t="s">
        <v>154</v>
      </c>
      <c r="D94" s="327"/>
      <c r="E94" s="303"/>
      <c r="F94" s="315"/>
      <c r="G94" s="303"/>
      <c r="H94" s="303"/>
      <c r="I94" s="303"/>
      <c r="J94" s="303"/>
    </row>
  </sheetData>
  <mergeCells count="14">
    <mergeCell ref="C49:C55"/>
    <mergeCell ref="C56:C71"/>
    <mergeCell ref="C91:D91"/>
    <mergeCell ref="C5:D5"/>
    <mergeCell ref="A7:A94"/>
    <mergeCell ref="B7:B94"/>
    <mergeCell ref="C7:C11"/>
    <mergeCell ref="C12:C14"/>
    <mergeCell ref="C15:C16"/>
    <mergeCell ref="C17:C25"/>
    <mergeCell ref="C26:C34"/>
    <mergeCell ref="C35:C37"/>
    <mergeCell ref="C38:C48"/>
    <mergeCell ref="C72:C89"/>
  </mergeCells>
  <hyperlinks>
    <hyperlink ref="E1" r:id="rId1" display="https://flankspeed.sharepoint-mil.us.mcas-gov.us/sites/CPF-CNAP-HQ/N42/N422/SharedDocuments/Forms/AllItems.aspx?RootFolder=%2Fsites%2FCPF%2DCNAP%2DHQ%2FN42%2FN422%2FSharedDocuments%2FN422C%20NAMP%2FMESMs&amp;FolderCTID=0x012000DF16210E418C3840B293E75187CA959E" xr:uid="{00000000-0004-0000-0E00-000000000000}"/>
    <hyperlink ref="E2" location="Inventory!A1" display="Inventory" xr:uid="{00000000-0004-0000-0E00-000001000000}"/>
  </hyperlinks>
  <pageMargins left="0.75" right="0.75" top="1" bottom="1" header="0.5" footer="0.5"/>
  <pageSetup orientation="portrait" verticalDpi="0" r:id="rId2"/>
  <headerFooter alignWithMargins="0"/>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7"/>
  <sheetViews>
    <sheetView showGridLines="0" workbookViewId="0"/>
  </sheetViews>
  <sheetFormatPr defaultRowHeight="15" x14ac:dyDescent="0.25"/>
  <cols>
    <col min="1" max="1" width="16" style="355" bestFit="1" customWidth="1"/>
    <col min="2" max="2" width="100.85546875" style="355" customWidth="1"/>
    <col min="3" max="16384" width="9.140625" style="355"/>
  </cols>
  <sheetData>
    <row r="1" spans="1:2" x14ac:dyDescent="0.25">
      <c r="A1" s="354" t="s">
        <v>44</v>
      </c>
    </row>
    <row r="3" spans="1:2" x14ac:dyDescent="0.25">
      <c r="A3" s="356" t="s">
        <v>362</v>
      </c>
      <c r="B3" s="356" t="s">
        <v>363</v>
      </c>
    </row>
    <row r="4" spans="1:2" ht="60" x14ac:dyDescent="0.25">
      <c r="A4" s="712" t="s">
        <v>195</v>
      </c>
      <c r="B4" s="713" t="s">
        <v>364</v>
      </c>
    </row>
    <row r="5" spans="1:2" x14ac:dyDescent="0.25">
      <c r="A5" s="714"/>
      <c r="B5" s="714"/>
    </row>
    <row r="6" spans="1:2" x14ac:dyDescent="0.25">
      <c r="A6" s="714"/>
      <c r="B6" s="714"/>
    </row>
    <row r="7" spans="1:2" x14ac:dyDescent="0.25">
      <c r="A7" s="714"/>
      <c r="B7" s="714"/>
    </row>
    <row r="8" spans="1:2" x14ac:dyDescent="0.25">
      <c r="A8" s="714"/>
      <c r="B8" s="714"/>
    </row>
    <row r="9" spans="1:2" x14ac:dyDescent="0.25">
      <c r="A9" s="714"/>
      <c r="B9" s="714"/>
    </row>
    <row r="10" spans="1:2" x14ac:dyDescent="0.25">
      <c r="A10" s="714"/>
      <c r="B10" s="714"/>
    </row>
    <row r="11" spans="1:2" x14ac:dyDescent="0.25">
      <c r="A11" s="714"/>
      <c r="B11" s="714"/>
    </row>
    <row r="12" spans="1:2" x14ac:dyDescent="0.25">
      <c r="A12" s="714"/>
      <c r="B12" s="714"/>
    </row>
    <row r="13" spans="1:2" x14ac:dyDescent="0.25">
      <c r="A13" s="714"/>
      <c r="B13" s="714"/>
    </row>
    <row r="14" spans="1:2" x14ac:dyDescent="0.25">
      <c r="A14" s="714"/>
      <c r="B14" s="714"/>
    </row>
    <row r="15" spans="1:2" x14ac:dyDescent="0.25">
      <c r="A15" s="714"/>
      <c r="B15" s="714"/>
    </row>
    <row r="16" spans="1:2" x14ac:dyDescent="0.25">
      <c r="A16" s="714"/>
      <c r="B16" s="714"/>
    </row>
    <row r="17" spans="1:2" x14ac:dyDescent="0.25">
      <c r="A17" s="714"/>
      <c r="B17" s="714"/>
    </row>
  </sheetData>
  <hyperlinks>
    <hyperlink ref="A1" location="Inventory!A1" display="Inventory" xr:uid="{00000000-0004-0000-0F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4A0BE0FB-2CD1-4C9F-A637-747075020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D1161-C2A9-417D-A24C-9D67FC9A23C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33575d1-c635-47cb-9f2e-8b33b5cd6ba3"/>
    <ds:schemaRef ds:uri="http://www.w3.org/XML/1998/namespace"/>
  </ds:schemaRefs>
</ds:datastoreItem>
</file>

<file path=customXml/itemProps3.xml><?xml version="1.0" encoding="utf-8"?>
<ds:datastoreItem xmlns:ds="http://schemas.openxmlformats.org/officeDocument/2006/customXml" ds:itemID="{DEEB112C-576B-474B-98CC-2386FD53F6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Inventory</vt:lpstr>
      <vt:lpstr>Log</vt:lpstr>
      <vt:lpstr>MH-60R CVW 11 Plane 20 Crew</vt:lpstr>
      <vt:lpstr>MH-60R CVW 10 Plane 18 Crew</vt:lpstr>
      <vt:lpstr>MH-60R FDNF 7 Plane 14 Crew</vt:lpstr>
      <vt:lpstr>MH-60R FDNF 1 plane-2 crew DRRS</vt:lpstr>
      <vt:lpstr>MH-60R FDNF 2 plane-3 crew DRRS</vt:lpstr>
      <vt:lpstr>MH-60R EXP 1 Plane-2 Crew DRRS</vt:lpstr>
      <vt:lpstr>MH-60R EXP 2 Plane-3 Crew DRRS</vt:lpstr>
      <vt:lpstr>HSM HSM-40 FRS (U)</vt:lpstr>
      <vt:lpstr>HSM HSM-41 FRS (U)</vt:lpstr>
      <vt:lpstr>HSM MH-60R PDAA</vt:lpstr>
      <vt:lpstr>MH-60R Reduced MET Matrix</vt:lpstr>
      <vt:lpstr>MH-60R Mission System Summary</vt:lpstr>
      <vt:lpstr>MH-60R Mission Systems</vt:lpstr>
      <vt:lpstr>Definitions</vt:lpstr>
    </vt:vector>
  </TitlesOfParts>
  <Manager>CNAL N01R</Manager>
  <Company>CNAF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dc:title>
  <dc:subject/>
  <dc:creator>Fleetwood, Michael T CTR  COMNAVAIRLANT, NC007</dc:creator>
  <cp:keywords>Current Readiness Standards</cp:keywords>
  <dc:description/>
  <cp:lastModifiedBy>Mark Bodoh</cp:lastModifiedBy>
  <cp:revision/>
  <dcterms:created xsi:type="dcterms:W3CDTF">2004-10-05T19:44:35Z</dcterms:created>
  <dcterms:modified xsi:type="dcterms:W3CDTF">2023-04-06T00:33:18Z</dcterms:modified>
  <cp:category>Current Readiness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21f6bf3d-a727-4125-bf38-f878eae22987</vt:lpwstr>
  </property>
  <property fmtid="{D5CDD505-2E9C-101B-9397-08002B2CF9AE}" pid="4" name="MSIP_Label_afe64f26-154f-4743-927e-a7310aa86873_Enabled">
    <vt:lpwstr>true</vt:lpwstr>
  </property>
  <property fmtid="{D5CDD505-2E9C-101B-9397-08002B2CF9AE}" pid="5" name="MSIP_Label_afe64f26-154f-4743-927e-a7310aa86873_SetDate">
    <vt:lpwstr>2023-04-06T00:30:14Z</vt:lpwstr>
  </property>
  <property fmtid="{D5CDD505-2E9C-101B-9397-08002B2CF9AE}" pid="6" name="MSIP_Label_afe64f26-154f-4743-927e-a7310aa86873_Method">
    <vt:lpwstr>Privileged</vt:lpwstr>
  </property>
  <property fmtid="{D5CDD505-2E9C-101B-9397-08002B2CF9AE}" pid="7" name="MSIP_Label_afe64f26-154f-4743-927e-a7310aa86873_Name">
    <vt:lpwstr>GovernmentData</vt:lpwstr>
  </property>
  <property fmtid="{D5CDD505-2E9C-101B-9397-08002B2CF9AE}" pid="8" name="MSIP_Label_afe64f26-154f-4743-927e-a7310aa86873_SiteId">
    <vt:lpwstr>29ac9fa0-83e8-40a8-914f-a74b1c9c46d0</vt:lpwstr>
  </property>
  <property fmtid="{D5CDD505-2E9C-101B-9397-08002B2CF9AE}" pid="9" name="MSIP_Label_afe64f26-154f-4743-927e-a7310aa86873_ActionId">
    <vt:lpwstr>ae3a4a9d-3a1d-4d5e-a75d-fceacbc994a3</vt:lpwstr>
  </property>
  <property fmtid="{D5CDD505-2E9C-101B-9397-08002B2CF9AE}" pid="10" name="MSIP_Label_afe64f26-154f-4743-927e-a7310aa86873_ContentBits">
    <vt:lpwstr>0</vt:lpwstr>
  </property>
</Properties>
</file>